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ar Profile" sheetId="2" state="visible" r:id="rId2"/>
    <sheet xmlns:r="http://schemas.openxmlformats.org/officeDocument/2006/relationships" name="Equipment List" sheetId="3" state="visible" r:id="rId3"/>
    <sheet xmlns:r="http://schemas.openxmlformats.org/officeDocument/2006/relationships" name="Before You Buy" sheetId="4" state="visible" r:id="rId4"/>
    <sheet xmlns:r="http://schemas.openxmlformats.org/officeDocument/2006/relationships" name="Budget Summary" sheetId="5" state="visible" r:id="rId5"/>
    <sheet xmlns:r="http://schemas.openxmlformats.org/officeDocument/2006/relationships" name="Lists" sheetId="6" state="hidden" r:id="rId6"/>
  </sheets>
  <definedNames>
    <definedName name="_xlnm.Print_Area" localSheetId="0">'Instructions'!$A$1:$D$35</definedName>
    <definedName name="_xlnm.Print_Area" localSheetId="1">'Bar Profile'!$A$1:$E$40</definedName>
    <definedName name="_xlnm.Print_Titles" localSheetId="2">'Equipment List'!$5:$5</definedName>
    <definedName name="_xlnm.Print_Area" localSheetId="2">'Equipment List'!$A$1:$J$82</definedName>
    <definedName name="_xlnm.Print_Area" localSheetId="3">'Before You Buy'!$A$1:$E$40</definedName>
    <definedName name="_xlnm.Print_Area" localSheetId="4">'Budget Summary'!$A$1:$H$27</definedName>
  </definedNames>
  <calcPr calcId="124519" fullCalcOnLoad="1"/>
</workbook>
</file>

<file path=xl/styles.xml><?xml version="1.0" encoding="utf-8"?>
<styleSheet xmlns="http://schemas.openxmlformats.org/spreadsheetml/2006/main">
  <numFmts count="3">
    <numFmt numFmtId="164" formatCode="[&gt;=100000]##\,##\,##0;#,##0"/>
    <numFmt numFmtId="165" formatCode="0.0"/>
    <numFmt numFmtId="166" formatCode="[&gt;=10000000]&quot;₹&quot;##\,##\,##\,##0;[&gt;=100000]&quot;₹&quot;##\,##\,##0;&quot;₹&quot;#,##0"/>
  </numFmts>
  <fonts count="11">
    <font>
      <name val="Calibri"/>
      <family val="2"/>
      <color theme="1"/>
      <sz val="11"/>
      <scheme val="minor"/>
    </font>
    <font>
      <name val="Calibri"/>
      <b val="1"/>
      <color rgb="00FFFFFF"/>
      <sz val="11"/>
    </font>
    <font>
      <name val="Calibri"/>
      <color rgb="001F2937"/>
      <sz val="10"/>
    </font>
    <font>
      <name val="Calibri"/>
      <b val="1"/>
      <color rgb="00FFFFFF"/>
      <sz val="14"/>
    </font>
    <font>
      <name val="Calibri"/>
      <i val="1"/>
      <color rgb="006B7280"/>
      <sz val="9"/>
    </font>
    <font>
      <name val="Calibri"/>
      <b val="1"/>
      <color rgb="00C52031"/>
      <sz val="12"/>
    </font>
    <font>
      <name val="Calibri"/>
      <b val="1"/>
      <color rgb="001F2937"/>
      <sz val="10"/>
    </font>
    <font>
      <name val="Calibri"/>
      <b val="1"/>
      <color rgb="00C52031"/>
      <sz val="11"/>
    </font>
    <font>
      <name val="Calibri"/>
      <b val="1"/>
      <color rgb="00FFFFFF"/>
      <sz val="13"/>
    </font>
    <font>
      <name val="Calibri"/>
      <color rgb="001F2937"/>
      <sz val="9"/>
    </font>
    <font>
      <name val="Calibri"/>
      <b val="1"/>
      <color rgb="001F2937"/>
      <sz val="11"/>
    </font>
  </fonts>
  <fills count="9">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DF5"/>
        <bgColor rgb="00FFFDF5"/>
      </patternFill>
    </fill>
    <fill>
      <patternFill patternType="solid">
        <fgColor rgb="00F3F4F6"/>
        <bgColor rgb="00F3F4F6"/>
      </patternFill>
    </fill>
    <fill>
      <patternFill patternType="solid">
        <fgColor rgb="00FFFBEB"/>
        <bgColor rgb="00FFFBEB"/>
      </patternFill>
    </fill>
    <fill>
      <patternFill patternType="solid">
        <fgColor rgb="00FEF2F2"/>
        <bgColor rgb="00FEF2F2"/>
      </patternFill>
    </fill>
    <fill>
      <patternFill patternType="solid">
        <fgColor rgb="00ECFDF5"/>
        <bgColor rgb="00ECFDF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61">
    <xf numFmtId="0" fontId="0" fillId="0" borderId="0" pivotButton="0" quotePrefix="0" xfId="0"/>
    <xf numFmtId="0" fontId="3" fillId="2" borderId="0" applyAlignment="1" pivotButton="0" quotePrefix="0" xfId="0">
      <alignment horizontal="left" vertical="center" wrapText="1"/>
    </xf>
    <xf numFmtId="0" fontId="0" fillId="2" borderId="0" pivotButton="0" quotePrefix="0" xfId="0"/>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2" fillId="0" borderId="0" applyAlignment="1" pivotButton="0" quotePrefix="0" xfId="0">
      <alignment horizontal="left" vertical="center" wrapText="1"/>
    </xf>
    <xf numFmtId="0" fontId="1" fillId="2" borderId="1" applyAlignment="1" pivotButton="0" quotePrefix="0" xfId="0">
      <alignment horizontal="left" vertical="center" wrapText="1"/>
    </xf>
    <xf numFmtId="0" fontId="6" fillId="3" borderId="1" applyAlignment="1" pivotButton="0" quotePrefix="0" xfId="0">
      <alignment horizontal="left" vertical="top" wrapText="1"/>
    </xf>
    <xf numFmtId="0" fontId="2" fillId="0" borderId="1" applyAlignment="1" pivotButton="0" quotePrefix="0" xfId="0">
      <alignment horizontal="left" vertical="top" wrapText="1"/>
    </xf>
    <xf numFmtId="0" fontId="6" fillId="4" borderId="1" applyAlignment="1" pivotButton="0" quotePrefix="0" xfId="0">
      <alignment horizontal="left" vertical="center" wrapText="1"/>
    </xf>
    <xf numFmtId="0" fontId="6" fillId="5" borderId="1" applyAlignment="1" pivotButton="0" quotePrefix="0" xfId="0">
      <alignment horizontal="left" vertical="center" wrapText="1"/>
    </xf>
    <xf numFmtId="0" fontId="6" fillId="6" borderId="1" applyAlignment="1" pivotButton="0" quotePrefix="0" xfId="0">
      <alignment horizontal="left" vertical="center" wrapText="1"/>
    </xf>
    <xf numFmtId="0" fontId="1" fillId="2" borderId="0" applyAlignment="1" pivotButton="0" quotePrefix="0" xfId="0">
      <alignment horizontal="left" vertical="center" wrapText="1"/>
    </xf>
    <xf numFmtId="0" fontId="2" fillId="3" borderId="1" applyAlignment="1" pivotButton="0" quotePrefix="0" xfId="0">
      <alignment horizontal="left" vertical="top" wrapText="1"/>
    </xf>
    <xf numFmtId="0" fontId="7" fillId="7" borderId="0" applyAlignment="1" pivotButton="0" quotePrefix="0" xfId="0">
      <alignment horizontal="left" vertical="center" wrapText="1"/>
    </xf>
    <xf numFmtId="0" fontId="0" fillId="7" borderId="0" pivotButton="0" quotePrefix="0" xfId="0"/>
    <xf numFmtId="0" fontId="6" fillId="6" borderId="1" applyAlignment="1" pivotButton="0" quotePrefix="0" xfId="0">
      <alignment horizontal="left" vertical="top" wrapText="1"/>
    </xf>
    <xf numFmtId="0" fontId="2" fillId="6" borderId="1" applyAlignment="1" pivotButton="0" quotePrefix="0" xfId="0">
      <alignment horizontal="left" vertical="top" wrapText="1"/>
    </xf>
    <xf numFmtId="0" fontId="4" fillId="0" borderId="0" applyAlignment="1" pivotButton="0" quotePrefix="0" xfId="0">
      <alignment horizontal="left" vertical="top" wrapText="1"/>
    </xf>
    <xf numFmtId="0" fontId="4" fillId="0" borderId="0" applyAlignment="1" pivotButton="0" quotePrefix="0" xfId="0">
      <alignment horizontal="center" vertical="center" wrapText="1"/>
    </xf>
    <xf numFmtId="0" fontId="8" fillId="2" borderId="0" applyAlignment="1" pivotButton="0" quotePrefix="0" xfId="0">
      <alignment horizontal="left" vertical="center" wrapText="1"/>
    </xf>
    <xf numFmtId="0" fontId="1" fillId="2" borderId="1" applyAlignment="1" pivotButton="0" quotePrefix="0" xfId="0">
      <alignment horizontal="center" vertical="center" wrapText="1"/>
    </xf>
    <xf numFmtId="164" fontId="2" fillId="4" borderId="1" applyAlignment="1" applyProtection="1" pivotButton="0" quotePrefix="0" xfId="0">
      <alignment horizontal="center" vertical="center" wrapText="1"/>
      <protection locked="0" hidden="0"/>
    </xf>
    <xf numFmtId="0" fontId="9" fillId="0" borderId="1" applyAlignment="1" pivotButton="0" quotePrefix="0" xfId="0">
      <alignment horizontal="left" vertical="top" wrapText="1"/>
    </xf>
    <xf numFmtId="0" fontId="2" fillId="4" borderId="1" applyAlignment="1" applyProtection="1" pivotButton="0" quotePrefix="0" xfId="0">
      <alignment horizontal="center" vertical="center" wrapText="1"/>
      <protection locked="0" hidden="0"/>
    </xf>
    <xf numFmtId="165" fontId="2" fillId="4" borderId="1" applyAlignment="1" applyProtection="1" pivotButton="0" quotePrefix="0" xfId="0">
      <alignment horizontal="center" vertical="center" wrapText="1"/>
      <protection locked="0" hidden="0"/>
    </xf>
    <xf numFmtId="0" fontId="10" fillId="5" borderId="0" applyAlignment="1" pivotButton="0" quotePrefix="0" xfId="0">
      <alignment horizontal="left" vertical="center" wrapText="1"/>
    </xf>
    <xf numFmtId="0" fontId="0" fillId="5" borderId="0" pivotButton="0" quotePrefix="0" xfId="0"/>
    <xf numFmtId="9" fontId="2" fillId="4" borderId="1" applyAlignment="1" applyProtection="1" pivotButton="0" quotePrefix="0" xfId="0">
      <alignment horizontal="center" vertical="center" wrapText="1"/>
      <protection locked="0" hidden="0"/>
    </xf>
    <xf numFmtId="0" fontId="10" fillId="5" borderId="1" applyAlignment="1" pivotButton="0" quotePrefix="0" xfId="0">
      <alignment horizontal="left" vertical="center" wrapText="1"/>
    </xf>
    <xf numFmtId="9" fontId="10" fillId="5" borderId="1" applyAlignment="1" pivotButton="0" quotePrefix="0" xfId="0">
      <alignment horizontal="center" vertical="center" wrapText="1"/>
    </xf>
    <xf numFmtId="0" fontId="6" fillId="5" borderId="1" applyAlignment="1" pivotButton="0" quotePrefix="0" xfId="0">
      <alignment horizontal="left" vertical="top" wrapText="1"/>
    </xf>
    <xf numFmtId="164" fontId="7" fillId="5" borderId="1" applyAlignment="1" pivotButton="0" quotePrefix="0" xfId="0">
      <alignment horizontal="center" vertical="center" wrapText="1"/>
    </xf>
    <xf numFmtId="0" fontId="9" fillId="3" borderId="1" applyAlignment="1" pivotButton="0" quotePrefix="0" xfId="0">
      <alignment horizontal="left" vertical="top" wrapText="1"/>
    </xf>
    <xf numFmtId="0" fontId="6" fillId="0" borderId="1" applyAlignment="1" pivotButton="0" quotePrefix="0" xfId="0">
      <alignment horizontal="left" vertical="top" wrapText="1"/>
    </xf>
    <xf numFmtId="0" fontId="9" fillId="8" borderId="1" applyAlignment="1" pivotButton="0" quotePrefix="0" xfId="0">
      <alignment horizontal="center" vertical="center" wrapText="1"/>
    </xf>
    <xf numFmtId="164" fontId="2" fillId="5" borderId="1" applyAlignment="1" pivotButton="0" quotePrefix="0" xfId="0">
      <alignment horizontal="center" vertical="center" wrapText="1"/>
    </xf>
    <xf numFmtId="166" fontId="2" fillId="4" borderId="1" applyAlignment="1" applyProtection="1" pivotButton="0" quotePrefix="0" xfId="0">
      <alignment horizontal="right" vertical="center"/>
      <protection locked="0" hidden="0"/>
    </xf>
    <xf numFmtId="166" fontId="2" fillId="5" borderId="1" applyAlignment="1" pivotButton="0" quotePrefix="0" xfId="0">
      <alignment horizontal="right" vertical="center"/>
    </xf>
    <xf numFmtId="166" fontId="10" fillId="5" borderId="1" applyAlignment="1" pivotButton="0" quotePrefix="0" xfId="0">
      <alignment horizontal="right" vertical="center"/>
    </xf>
    <xf numFmtId="0" fontId="9" fillId="6" borderId="1" applyAlignment="1" pivotButton="0" quotePrefix="0" xfId="0">
      <alignment horizontal="left" vertical="top" wrapText="1"/>
    </xf>
    <xf numFmtId="0" fontId="9" fillId="0" borderId="1" applyAlignment="1" pivotButton="0" quotePrefix="0" xfId="0">
      <alignment horizontal="center" vertical="center" wrapText="1"/>
    </xf>
    <xf numFmtId="0" fontId="6" fillId="4" borderId="1" applyAlignment="1" applyProtection="1" pivotButton="0" quotePrefix="0" xfId="0">
      <alignment horizontal="left" vertical="top" wrapText="1"/>
      <protection locked="0" hidden="0"/>
    </xf>
    <xf numFmtId="0" fontId="9" fillId="4" borderId="1" applyAlignment="1" applyProtection="1" pivotButton="0" quotePrefix="0" xfId="0">
      <alignment horizontal="left" vertical="top" wrapText="1"/>
      <protection locked="0" hidden="0"/>
    </xf>
    <xf numFmtId="0" fontId="9" fillId="4" borderId="1" applyAlignment="1" applyProtection="1" pivotButton="0" quotePrefix="0" xfId="0">
      <alignment horizontal="center" vertical="center" wrapText="1"/>
      <protection locked="0" hidden="0"/>
    </xf>
    <xf numFmtId="0" fontId="4" fillId="0" borderId="1" applyAlignment="1" pivotButton="0" quotePrefix="0" xfId="0">
      <alignment horizontal="left" vertical="top" wrapText="1"/>
    </xf>
    <xf numFmtId="0" fontId="10" fillId="5" borderId="1" applyAlignment="1" pivotButton="0" quotePrefix="0" xfId="0">
      <alignment horizontal="center" vertical="center" wrapText="1"/>
    </xf>
    <xf numFmtId="166" fontId="7" fillId="5" borderId="1" applyAlignment="1" pivotButton="0" quotePrefix="0" xfId="0">
      <alignment horizontal="right" vertical="center"/>
    </xf>
    <xf numFmtId="0" fontId="9" fillId="5" borderId="1" applyAlignment="1" pivotButton="0" quotePrefix="0" xfId="0">
      <alignment horizontal="left" vertical="center" wrapText="1"/>
    </xf>
    <xf numFmtId="0" fontId="2" fillId="4" borderId="1" applyAlignment="1" applyProtection="1" pivotButton="0" quotePrefix="0" xfId="0">
      <alignment horizontal="left" vertical="top" wrapText="1"/>
      <protection locked="0" hidden="0"/>
    </xf>
    <xf numFmtId="0" fontId="6" fillId="3" borderId="1" applyAlignment="1" pivotButton="0" quotePrefix="0" xfId="0">
      <alignment horizontal="left" vertical="center" wrapText="1"/>
    </xf>
    <xf numFmtId="166" fontId="2" fillId="0" borderId="1" applyAlignment="1" pivotButton="0" quotePrefix="0" xfId="0">
      <alignment horizontal="right" vertical="center"/>
    </xf>
    <xf numFmtId="9" fontId="2" fillId="0" borderId="1" applyAlignment="1" pivotButton="0" quotePrefix="0" xfId="0">
      <alignment horizontal="center" vertical="center" wrapText="1"/>
    </xf>
    <xf numFmtId="1" fontId="2" fillId="0" borderId="1" applyAlignment="1" pivotButton="0" quotePrefix="0" xfId="0">
      <alignment horizontal="center" vertical="center" wrapText="1"/>
    </xf>
    <xf numFmtId="0" fontId="7" fillId="5" borderId="1" applyAlignment="1" pivotButton="0" quotePrefix="0" xfId="0">
      <alignment horizontal="center" vertical="center" wrapText="1"/>
    </xf>
    <xf numFmtId="1" fontId="7" fillId="5" borderId="1" applyAlignment="1" pivotButton="0" quotePrefix="0" xfId="0">
      <alignment horizontal="center" vertical="center" wrapText="1"/>
    </xf>
    <xf numFmtId="166" fontId="7" fillId="5" borderId="1" applyAlignment="1" pivotButton="0" quotePrefix="0" xfId="0">
      <alignment horizontal="center" vertical="center" wrapText="1"/>
    </xf>
    <xf numFmtId="0" fontId="0" fillId="5" borderId="1" pivotButton="0" quotePrefix="0" xfId="0"/>
    <xf numFmtId="9" fontId="7" fillId="5" borderId="1" applyAlignment="1" pivotButton="0" quotePrefix="0" xfId="0">
      <alignment horizontal="center" vertical="center" wrapText="1"/>
    </xf>
    <xf numFmtId="0" fontId="2" fillId="0" borderId="1" applyAlignment="1" pivotButton="0" quotePrefix="0" xfId="0">
      <alignment horizontal="left" vertical="center" wrapText="1"/>
    </xf>
    <xf numFmtId="0" fontId="6"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5"/>
  <sheetViews>
    <sheetView showGridLines="0" workbookViewId="0">
      <selection activeCell="A1" sqref="A1"/>
    </sheetView>
  </sheetViews>
  <sheetFormatPr baseColWidth="8" defaultRowHeight="15"/>
  <cols>
    <col width="3" customWidth="1" min="1" max="1"/>
    <col width="52" customWidth="1" min="2" max="2"/>
    <col width="46" customWidth="1" min="3" max="3"/>
    <col width="3" customWidth="1" min="4" max="4"/>
  </cols>
  <sheetData>
    <row r="1"/>
    <row r="2" ht="24" customHeight="1">
      <c r="B2" s="1" t="inlineStr">
        <is>
          <t>Bar Equipment Planner</t>
        </is>
      </c>
      <c r="C2" s="2" t="n"/>
    </row>
    <row r="3" ht="27" customHeight="1">
      <c r="B3" s="3" t="inlineStr">
        <is>
          <t>The items a working bar needs, how many of each your bar needs, and what it costs you, priced from your own supplier quotes, not from a number someone published last year.</t>
        </is>
      </c>
    </row>
    <row r="4"/>
    <row r="5">
      <c r="B5" s="4" t="inlineStr">
        <is>
          <t>What this file does</t>
        </is>
      </c>
    </row>
    <row r="6">
      <c r="B6" s="5" t="inlineStr">
        <is>
          <t>1. You describe your bar once on the Bar Profile sheet: seats, stations, menu style.</t>
        </is>
      </c>
    </row>
    <row r="7">
      <c r="B7" s="5" t="inlineStr">
        <is>
          <t>2. The Equipment List then works out a suggested quantity for every item on it.</t>
        </is>
      </c>
    </row>
    <row r="8">
      <c r="B8" s="5" t="inlineStr">
        <is>
          <t>3. You enter up to three supplier quotes per line. The sheet takes the lowest.</t>
        </is>
      </c>
    </row>
    <row r="9">
      <c r="B9" s="5" t="inlineStr">
        <is>
          <t>4. The Budget Summary totals it by group, and splits opening-night spend from what can wait.</t>
        </is>
      </c>
    </row>
    <row r="10"/>
    <row r="11">
      <c r="B11" s="4" t="inlineStr">
        <is>
          <t>The sheets</t>
        </is>
      </c>
    </row>
    <row r="12">
      <c r="B12" s="6" t="inlineStr">
        <is>
          <t>Sheet</t>
        </is>
      </c>
      <c r="C12" s="6" t="inlineStr">
        <is>
          <t>What you do on it</t>
        </is>
      </c>
    </row>
    <row r="13" ht="27" customHeight="1">
      <c r="B13" s="7" t="inlineStr">
        <is>
          <t>1. Instructions</t>
        </is>
      </c>
      <c r="C13" s="8" t="inlineStr">
        <is>
          <t>This page. Read the two rules at the bottom before you order anything.</t>
        </is>
      </c>
    </row>
    <row r="14" ht="40" customHeight="1">
      <c r="B14" s="7" t="inlineStr">
        <is>
          <t>2. Bar Profile</t>
        </is>
      </c>
      <c r="C14" s="8" t="inlineStr">
        <is>
          <t>Your inputs. Seats, stations, menu style and the assumptions that drive every quantity. Cream cells are yours to change.</t>
        </is>
      </c>
    </row>
    <row r="15" ht="66" customHeight="1">
      <c r="B15" s="7" t="inlineStr">
        <is>
          <t>3. Equipment List</t>
        </is>
      </c>
      <c r="C15" s="8" t="inlineStr">
        <is>
          <t>Every item, in seven groups. Suggested quantity is calculated; your quantity and your three quotes are yours to enter. Six blank rows at the bottom take anything the list does not carry.</t>
        </is>
      </c>
    </row>
    <row r="16" ht="40" customHeight="1">
      <c r="B16" s="7" t="inlineStr">
        <is>
          <t>4. Before You Buy</t>
        </is>
      </c>
      <c r="C16" s="8" t="inlineStr">
        <is>
          <t>The two Indian rules that apply to bar equipment, and the questions to put to a supplier before you pay.</t>
        </is>
      </c>
    </row>
    <row r="17" ht="27" customHeight="1">
      <c r="B17" s="7" t="inlineStr">
        <is>
          <t>5. Budget Summary</t>
        </is>
      </c>
      <c r="C17" s="8" t="inlineStr">
        <is>
          <t>Totals by group, day one against later, and what you still have not priced.</t>
        </is>
      </c>
    </row>
    <row r="18"/>
    <row r="19">
      <c r="B19" s="4" t="inlineStr">
        <is>
          <t>How to read the colours</t>
        </is>
      </c>
    </row>
    <row r="20" ht="27" customHeight="1">
      <c r="B20" s="9" t="inlineStr">
        <is>
          <t>Cream cells</t>
        </is>
      </c>
      <c r="C20" s="8" t="inlineStr">
        <is>
          <t>You type in these. Everything else is calculated or fixed.</t>
        </is>
      </c>
    </row>
    <row r="21" ht="27" customHeight="1">
      <c r="B21" s="10" t="inlineStr">
        <is>
          <t>Grey cells</t>
        </is>
      </c>
      <c r="C21" s="8" t="inlineStr">
        <is>
          <t>Calculated. Changing one breaks the arithmetic below it.</t>
        </is>
      </c>
    </row>
    <row r="22" ht="27" customHeight="1">
      <c r="B22" s="11" t="inlineStr">
        <is>
          <t>Amber rows</t>
        </is>
      </c>
      <c r="C22" s="8" t="inlineStr">
        <is>
          <t>Something needs checking before you pay, usually a legal one.</t>
        </is>
      </c>
    </row>
    <row r="23"/>
    <row r="24">
      <c r="B24" s="12" t="inlineStr">
        <is>
          <t>Two things about prices</t>
        </is>
      </c>
      <c r="C24" s="2" t="n"/>
    </row>
    <row r="25" ht="66" customHeight="1">
      <c r="B25" s="13" t="inlineStr">
        <is>
          <t>This file ships with no prices in it, and that is deliberate. Bar equipment prices in India move by city, by season and by how much of the order one supplier gets. A printed band would be wrong for most readers and stale for the rest. What does not go stale is the list, the quantity method and the specification to insist on, so that is what you get, with three columns to price it yourself.</t>
        </is>
      </c>
    </row>
    <row r="26" ht="40" customHeight="1">
      <c r="B26" s="13" t="inlineStr">
        <is>
          <t>Get three quotes on the same written specification. The same shaker sells at four prices and the gap is usually build quality, not brand, so a quote against a vague description is not comparable to anything.</t>
        </is>
      </c>
    </row>
    <row r="27"/>
    <row r="28">
      <c r="B28" s="14" t="inlineStr">
        <is>
          <t>Before you order: two equipment rules an imported bar list will not carry</t>
        </is>
      </c>
      <c r="C28" s="15" t="n"/>
    </row>
    <row r="29" ht="93" customHeight="1">
      <c r="B29" s="16" t="inlineStr">
        <is>
          <t>Your peg measure is a legal instrument</t>
        </is>
      </c>
      <c r="C29" s="17" t="inlineStr">
        <is>
          <t>A jigger or peg measure decides the quantity you sell, which makes it a measure used in trade. Section 24 of the Legal Metrology Act, 2009 requires it to be verified and stamped before it is put into use. A jigger bought online does not arrive stamped. Full detail on the Before You Buy sheet.</t>
        </is>
      </c>
    </row>
    <row r="30" ht="80" customHeight="1">
      <c r="B30" s="16" t="inlineStr">
        <is>
          <t>Your bar is a food business, behind the counter too</t>
        </is>
      </c>
      <c r="C30" s="17" t="inlineStr">
        <is>
          <t>Part V of Schedule 4 of the food safety regulations covers catering and food service establishments and names snack bars directly. Your wash setup, your storage and your staff hygiene are inspectable on the same terms as a kitchen's.</t>
        </is>
      </c>
    </row>
    <row r="31"/>
    <row r="32"/>
    <row r="33" ht="66" customHeight="1">
      <c r="B33" s="18" t="inlineStr">
        <is>
          <t>This workbook is a planning aid, not legal or tax advice. A bar that serves liquor needs its state excise licence before any of this, and some states prohibit or tightly restrict the sale of liquor altogether, so settle that first. Licence conditions, excise rules and state legal metrology fees differ by state, so confirm yours with your state department before you commit to an order.</t>
        </is>
      </c>
    </row>
    <row r="34"/>
    <row r="35">
      <c r="B35"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2">
    <mergeCell ref="B6:C6"/>
    <mergeCell ref="B24:C24"/>
    <mergeCell ref="B2:C2"/>
    <mergeCell ref="B7:C7"/>
    <mergeCell ref="B25:C25"/>
    <mergeCell ref="B33:C33"/>
    <mergeCell ref="B3:C3"/>
    <mergeCell ref="B28:C28"/>
    <mergeCell ref="B26:C26"/>
    <mergeCell ref="B9:C9"/>
    <mergeCell ref="B8:C8"/>
    <mergeCell ref="B35:C35"/>
  </mergeCells>
  <printOptions horizontalCentered="1"/>
  <pageMargins left="0.3" right="0.3" top="0.4" bottom="0.4"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40"/>
  <sheetViews>
    <sheetView showGridLines="0" workbookViewId="0">
      <pane ySplit="5" topLeftCell="A6" activePane="bottomLeft" state="frozen"/>
      <selection pane="bottomLeft" activeCell="A1" sqref="A1"/>
    </sheetView>
  </sheetViews>
  <sheetFormatPr baseColWidth="8" defaultRowHeight="15"/>
  <cols>
    <col width="3" customWidth="1" min="1" max="1"/>
    <col width="44" customWidth="1" min="2" max="2"/>
    <col width="16" customWidth="1" min="3" max="3"/>
    <col width="52" customWidth="1" min="4" max="4"/>
    <col width="3" customWidth="1" min="5" max="5"/>
  </cols>
  <sheetData>
    <row r="1"/>
    <row r="2" ht="22" customHeight="1">
      <c r="B2" s="20" t="inlineStr">
        <is>
          <t>Your bar</t>
        </is>
      </c>
      <c r="C2" s="2" t="n"/>
      <c r="D2" s="2" t="n"/>
    </row>
    <row r="3">
      <c r="B3" s="3" t="inlineStr">
        <is>
          <t>Fill the cream cells. Everything on the Equipment List follows from these.</t>
        </is>
      </c>
    </row>
    <row r="4"/>
    <row r="5">
      <c r="B5" s="6" t="inlineStr">
        <is>
          <t>Input</t>
        </is>
      </c>
      <c r="C5" s="21" t="inlineStr">
        <is>
          <t>Your answer</t>
        </is>
      </c>
      <c r="D5" s="6" t="inlineStr">
        <is>
          <t>Why it matters</t>
        </is>
      </c>
    </row>
    <row r="6" ht="40" customHeight="1">
      <c r="B6" s="7" t="inlineStr">
        <is>
          <t>Seats at and around the bar</t>
        </is>
      </c>
      <c r="C6" s="22" t="n">
        <v>40</v>
      </c>
      <c r="D6" s="23" t="inlineStr">
        <is>
          <t>Drives glassware. A glass is always in one of three places during service: on a table, in the wash, or on the shelf.</t>
        </is>
      </c>
    </row>
    <row r="7" ht="40" customHeight="1">
      <c r="B7" s="7" t="inlineStr">
        <is>
          <t>Bar stations (service points)</t>
        </is>
      </c>
      <c r="C7" s="22" t="n">
        <v>1</v>
      </c>
      <c r="D7" s="23" t="inlineStr">
        <is>
          <t>Drives hand tools. Each station needs its own shaker, jigger and strainer, or bartenders queue for them.</t>
        </is>
      </c>
    </row>
    <row r="8" ht="40" customHeight="1">
      <c r="B8" s="7" t="inlineStr">
        <is>
          <t>Menu style</t>
        </is>
      </c>
      <c r="C8" s="24" t="inlineStr">
        <is>
          <t>Mixed drinks</t>
        </is>
      </c>
      <c r="D8" s="23" t="inlineStr">
        <is>
          <t>Sets the glass mix below. A beer and highball bar needs nothing like the range a cocktail bar carries.</t>
        </is>
      </c>
    </row>
    <row r="9">
      <c r="B9" s="7" t="inlineStr">
        <is>
          <t>Covers on your busiest evening</t>
        </is>
      </c>
      <c r="C9" s="22" t="n">
        <v>120</v>
      </c>
      <c r="D9" s="23" t="inlineStr">
        <is>
          <t>Used for the ice load, not for glassware.</t>
        </is>
      </c>
    </row>
    <row r="10" ht="27" customHeight="1">
      <c r="B10" s="7" t="inlineStr">
        <is>
          <t>Drinks per guest on that evening</t>
        </is>
      </c>
      <c r="C10" s="25" t="n">
        <v>2.5</v>
      </c>
      <c r="D10" s="23" t="inlineStr">
        <is>
          <t>Your own figure beats any benchmark. Two is conservative for a bar, three is a late crowd.</t>
        </is>
      </c>
    </row>
    <row r="11" ht="27" customHeight="1">
      <c r="B11" s="7" t="inlineStr">
        <is>
          <t>Blended or frozen drinks on the menu</t>
        </is>
      </c>
      <c r="C11" s="24" t="inlineStr">
        <is>
          <t>No</t>
        </is>
      </c>
      <c r="D11" s="23" t="inlineStr">
        <is>
          <t>Decides whether the blender is a day-one buy or something you add at the first menu change.</t>
        </is>
      </c>
    </row>
    <row r="12" ht="27" customHeight="1">
      <c r="B12" s="7" t="inlineStr">
        <is>
          <t>Fresh citrus juice</t>
        </is>
      </c>
      <c r="C12" s="24" t="inlineStr">
        <is>
          <t>Yes</t>
        </is>
      </c>
      <c r="D12" s="23" t="inlineStr">
        <is>
          <t>A hand reamer covers low volume. Powered juicer only if the menu leans on it.</t>
        </is>
      </c>
    </row>
    <row r="13" ht="27" customHeight="1">
      <c r="B13" s="7" t="inlineStr">
        <is>
          <t>Draught beer</t>
        </is>
      </c>
      <c r="C13" s="24" t="inlineStr">
        <is>
          <t>No</t>
        </is>
      </c>
      <c r="D13" s="23" t="inlineStr">
        <is>
          <t>Adds keg cooling and draught glassware, and changes the cleaning routine.</t>
        </is>
      </c>
    </row>
    <row r="14" ht="27" customHeight="1">
      <c r="B14" s="7" t="inlineStr">
        <is>
          <t>Wine by the glass</t>
        </is>
      </c>
      <c r="C14" s="24" t="inlineStr">
        <is>
          <t>Yes</t>
        </is>
      </c>
      <c r="D14" s="23" t="inlineStr">
        <is>
          <t>Adds wine glasses. Red and white separately only if the list justifies both.</t>
        </is>
      </c>
    </row>
    <row r="15"/>
    <row r="16">
      <c r="B16" s="26" t="inlineStr">
        <is>
          <t>Assumptions you can change</t>
        </is>
      </c>
      <c r="C16" s="27" t="n"/>
      <c r="D16" s="27" t="n"/>
    </row>
    <row r="17" ht="27" customHeight="1">
      <c r="B17" s="18" t="inlineStr">
        <is>
          <t>These are starting points, not benchmarks. Nobody publishes a reliable Indian figure for either, so they are set where a careful buyer would start and left open for you to move.</t>
        </is>
      </c>
    </row>
    <row r="18" ht="40" customHeight="1">
      <c r="B18" s="7" t="inlineStr">
        <is>
          <t>Glass sets to stock per seat</t>
        </is>
      </c>
      <c r="C18" s="25" t="n">
        <v>3</v>
      </c>
      <c r="D18" s="23" t="inlineStr">
        <is>
          <t>Three covers the table, the wash and the shelf. Drop it to two only if you wash mid-service and can prove it.</t>
        </is>
      </c>
    </row>
    <row r="19" ht="27" customHeight="1">
      <c r="B19" s="7" t="inlineStr">
        <is>
          <t>Spares and breakage buffer</t>
        </is>
      </c>
      <c r="C19" s="28" t="n">
        <v>0.1</v>
      </c>
      <c r="D19" s="23" t="inlineStr">
        <is>
          <t>Glass is a consumable, not a fixed asset. Breakage on a busy Saturday is normal.</t>
        </is>
      </c>
    </row>
    <row r="20" ht="27" customHeight="1">
      <c r="B20" s="7" t="inlineStr">
        <is>
          <t>Ice per drink (grams)</t>
        </is>
      </c>
      <c r="C20" s="22" t="n">
        <v>200</v>
      </c>
      <c r="D20" s="23" t="inlineStr">
        <is>
          <t>Set it from your own drinks. A highball over cubes uses far more than a shot.</t>
        </is>
      </c>
    </row>
    <row r="21"/>
    <row r="22">
      <c r="B22" s="26" t="inlineStr">
        <is>
          <t>Your glass mix</t>
        </is>
      </c>
      <c r="C22" s="27" t="n"/>
      <c r="D22" s="27" t="n"/>
    </row>
    <row r="23" ht="40" customHeight="1">
      <c r="B23" s="18" t="inlineStr">
        <is>
          <t>Glassware is the one group you cannot copy from another bar. Your menu decides it. The split below starts from your menu style and re-balances itself to 100% if a shape drops out, so overwrite it with your own once the drinks list is fixed. If you do type your own, they need to add to 100%.</t>
        </is>
      </c>
    </row>
    <row r="24" ht="27" customHeight="1">
      <c r="B24" s="6" t="inlineStr">
        <is>
          <t>Glass shape</t>
        </is>
      </c>
      <c r="C24" s="21" t="inlineStr">
        <is>
          <t>Share of drinks</t>
        </is>
      </c>
      <c r="D24" s="6" t="inlineStr">
        <is>
          <t>What it is for</t>
        </is>
      </c>
    </row>
    <row r="25">
      <c r="B25" s="7" t="inlineStr">
        <is>
          <t>Highball or Collins</t>
        </is>
      </c>
      <c r="C25" s="28">
        <f>IFERROR(Lists!$C$2/Lists!$C$8,0)</f>
        <v/>
      </c>
      <c r="D25" s="23" t="inlineStr">
        <is>
          <t>Long mixed drinks</t>
        </is>
      </c>
    </row>
    <row r="26">
      <c r="B26" s="7" t="inlineStr">
        <is>
          <t>Rocks or old fashioned</t>
        </is>
      </c>
      <c r="C26" s="28">
        <f>IFERROR(Lists!$C$3/Lists!$C$8,0)</f>
        <v/>
      </c>
      <c r="D26" s="23" t="inlineStr">
        <is>
          <t>Spirits on ice</t>
        </is>
      </c>
    </row>
    <row r="27">
      <c r="B27" s="7" t="inlineStr">
        <is>
          <t>Beer glass</t>
        </is>
      </c>
      <c r="C27" s="28">
        <f>IFERROR(Lists!$C$4/Lists!$C$8,0)</f>
        <v/>
      </c>
      <c r="D27" s="23" t="inlineStr">
        <is>
          <t>The style your draught or bottle brand expects</t>
        </is>
      </c>
    </row>
    <row r="28" ht="40" customHeight="1">
      <c r="B28" s="7" t="inlineStr">
        <is>
          <t>Wine glass</t>
        </is>
      </c>
      <c r="C28" s="28">
        <f>IFERROR(Lists!$C$5/Lists!$C$8,0)</f>
        <v/>
      </c>
      <c r="D28" s="23" t="inlineStr">
        <is>
          <t>Drops to nothing if you answered No to wine by the glass, and the other shapes take up the difference</t>
        </is>
      </c>
    </row>
    <row r="29">
      <c r="B29" s="7" t="inlineStr">
        <is>
          <t>Cocktail or coupe</t>
        </is>
      </c>
      <c r="C29" s="28">
        <f>IFERROR(Lists!$C$6/Lists!$C$8,0)</f>
        <v/>
      </c>
      <c r="D29" s="23" t="inlineStr">
        <is>
          <t>Anything served without ice</t>
        </is>
      </c>
    </row>
    <row r="30">
      <c r="B30" s="7" t="inlineStr">
        <is>
          <t>Shot glass</t>
        </is>
      </c>
      <c r="C30" s="28">
        <f>IFERROR(Lists!$C$7/Lists!$C$8,0)</f>
        <v/>
      </c>
      <c r="D30" s="23" t="inlineStr">
        <is>
          <t>Straight pours</t>
        </is>
      </c>
    </row>
    <row r="31" ht="27" customHeight="1">
      <c r="B31" s="29" t="inlineStr">
        <is>
          <t>Total</t>
        </is>
      </c>
      <c r="C31" s="30">
        <f>SUM(C25:C30)</f>
        <v/>
      </c>
      <c r="D31" s="23" t="inlineStr">
        <is>
          <t>If this is not 100%, your glass quantities are under or over stated by the same margin.</t>
        </is>
      </c>
    </row>
    <row r="32"/>
    <row r="33">
      <c r="B33" s="12" t="inlineStr">
        <is>
          <t>What this works out to</t>
        </is>
      </c>
      <c r="C33" s="2" t="n"/>
      <c r="D33" s="2" t="n"/>
    </row>
    <row r="34">
      <c r="B34" s="6" t="inlineStr">
        <is>
          <t>Figure</t>
        </is>
      </c>
      <c r="C34" s="21" t="inlineStr">
        <is>
          <t>Value</t>
        </is>
      </c>
      <c r="D34" s="6" t="inlineStr">
        <is>
          <t>How it is worked out</t>
        </is>
      </c>
    </row>
    <row r="35">
      <c r="B35" s="31" t="inlineStr">
        <is>
          <t>Drinks on your busiest evening</t>
        </is>
      </c>
      <c r="C35" s="32">
        <f>ROUND('Bar Profile'!$C$9*'Bar Profile'!$C$10,0)</f>
        <v/>
      </c>
      <c r="D35" s="23" t="inlineStr">
        <is>
          <t>Covers multiplied by drinks per guest.</t>
        </is>
      </c>
    </row>
    <row r="36" ht="40" customHeight="1">
      <c r="B36" s="31" t="inlineStr">
        <is>
          <t>Ice needed that evening (kg)</t>
        </is>
      </c>
      <c r="C36" s="32">
        <f>ROUND('Bar Profile'!$C$9*'Bar Profile'!$C$10*'Bar Profile'!$C$20/1000,0)</f>
        <v/>
      </c>
      <c r="D36" s="23" t="inlineStr">
        <is>
          <t>Drinks multiplied by your ice-per-drink figure. Size the machine against this, not against an average night.</t>
        </is>
      </c>
    </row>
    <row r="37" ht="53" customHeight="1">
      <c r="B37" s="31" t="inlineStr">
        <is>
          <t>Total glasses to stock</t>
        </is>
      </c>
      <c r="C37" s="32">
        <f>ROUNDUP('Bar Profile'!$C$6*'Bar Profile'!$C$18*'Bar Profile'!$C$25*(1+'Bar Profile'!$C$19),0)+ROUNDUP('Bar Profile'!$C$6*'Bar Profile'!$C$18*'Bar Profile'!$C$26*(1+'Bar Profile'!$C$19),0)+ROUNDUP('Bar Profile'!$C$6*'Bar Profile'!$C$18*'Bar Profile'!$C$27*(1+'Bar Profile'!$C$19),0)+ROUNDUP('Bar Profile'!$C$6*'Bar Profile'!$C$18*'Bar Profile'!$C$28*(1+'Bar Profile'!$C$19),0)+ROUNDUP('Bar Profile'!$C$6*'Bar Profile'!$C$18*'Bar Profile'!$C$29*(1+'Bar Profile'!$C$19),0)+ROUNDUP('Bar Profile'!$C$6*'Bar Profile'!$C$18*'Bar Profile'!$C$30*(1+'Bar Profile'!$C$19),0)</f>
        <v/>
      </c>
      <c r="D37" s="23" t="inlineStr">
        <is>
          <t>Each shape sized from seats, sets per seat and its share, then rounded up and added. This is the same arithmetic the six glassware lines use, so the two sheets agree.</t>
        </is>
      </c>
    </row>
    <row r="38"/>
    <row r="39"/>
    <row r="40">
      <c r="B40"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8">
    <mergeCell ref="B33:D33"/>
    <mergeCell ref="B3:D3"/>
    <mergeCell ref="B23:D23"/>
    <mergeCell ref="B22:D22"/>
    <mergeCell ref="B17:D17"/>
    <mergeCell ref="B2:D2"/>
    <mergeCell ref="B40:D40"/>
    <mergeCell ref="B16:D16"/>
  </mergeCells>
  <dataValidations count="3">
    <dataValidation sqref="C8" showDropDown="0" showInputMessage="0" showErrorMessage="1" allowBlank="0" errorTitle="Pick from the list" error="Choose one of the three menu styles from the dropdown. Anything typed by hand is read as Mixed drinks." type="list" errorStyle="stop">
      <formula1>=Lists!$A$2:$A$4</formula1>
    </dataValidation>
    <dataValidation sqref="C11 C12 C13 C14" showDropDown="0" showInputMessage="0" showErrorMessage="1" allowBlank="0" errorTitle="Yes or No" error="Pick Yes or No from the dropdown. A typed N or Y is not read." type="list" errorStyle="stop">
      <formula1>=Lists!$A$7:$A$8</formula1>
    </dataValidation>
    <dataValidation sqref="C6 C7 C9 C10 C18 C19 C20" showDropDown="0" showInputMessage="0" showErrorMessage="1" allowBlank="0" errorTitle="Numbers only" error="Enter a number of zero or more." type="decimal" errorStyle="stop" operator="greaterThanOrEqual">
      <formula1>0</formula1>
    </dataValidation>
  </dataValidations>
  <printOptions horizontalCentered="1"/>
  <pageMargins left="0.3" right="0.3" top="0.4" bottom="0.4"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M82"/>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3" customWidth="1" min="1" max="1"/>
    <col width="16" customWidth="1" min="2" max="2"/>
    <col width="30" customWidth="1" min="3" max="3"/>
    <col width="44" customWidth="1" min="4" max="4"/>
    <col width="10" customWidth="1" min="5" max="5"/>
    <col width="11" customWidth="1" min="6" max="6"/>
    <col width="10" customWidth="1" min="7" max="7"/>
    <col width="13" customWidth="1" min="8" max="8"/>
    <col width="13" customWidth="1" min="9" max="9"/>
    <col width="13" customWidth="1" min="10" max="10"/>
    <col width="13" customWidth="1" min="11" max="11"/>
    <col width="14" customWidth="1" min="12" max="12"/>
    <col width="26" customWidth="1" min="13" max="13"/>
    <col width="3" customWidth="1" min="14" max="14"/>
  </cols>
  <sheetData>
    <row r="1"/>
    <row r="2" ht="22" customHeight="1">
      <c r="B2" s="20" t="inlineStr">
        <is>
          <t>Equipment list, quantities and quotes</t>
        </is>
      </c>
      <c r="C2" s="2" t="n"/>
      <c r="D2" s="2" t="n"/>
      <c r="E2" s="2" t="n"/>
      <c r="F2" s="2" t="n"/>
      <c r="G2" s="2" t="n"/>
      <c r="H2" s="2" t="n"/>
      <c r="I2" s="2" t="n"/>
      <c r="J2" s="2" t="n"/>
      <c r="K2" s="2" t="n"/>
      <c r="L2" s="2" t="n"/>
      <c r="M2" s="2" t="n"/>
    </row>
    <row r="3">
      <c r="B3" s="3" t="inlineStr">
        <is>
          <t>Suggested quantity is calculated from the Bar Profile. Override it in Your qty whenever you know better. The totals follow Your qty, not the suggestion. Leave a line at zero to drop it from the budget.</t>
        </is>
      </c>
    </row>
    <row r="4"/>
    <row r="5" ht="30" customHeight="1">
      <c r="B5" s="21" t="inlineStr">
        <is>
          <t>Group</t>
        </is>
      </c>
      <c r="C5" s="21" t="inlineStr">
        <is>
          <t>Item</t>
        </is>
      </c>
      <c r="D5" s="21" t="inlineStr">
        <is>
          <t>What to insist on</t>
        </is>
      </c>
      <c r="E5" s="21" t="inlineStr">
        <is>
          <t>Day one</t>
        </is>
      </c>
      <c r="F5" s="21" t="inlineStr">
        <is>
          <t>Suggested qty</t>
        </is>
      </c>
      <c r="G5" s="21" t="inlineStr">
        <is>
          <t>Your qty</t>
        </is>
      </c>
      <c r="H5" s="21" t="inlineStr">
        <is>
          <t>Quote 1 (₹/unit)</t>
        </is>
      </c>
      <c r="I5" s="21" t="inlineStr">
        <is>
          <t>Quote 2 (₹/unit)</t>
        </is>
      </c>
      <c r="J5" s="21" t="inlineStr">
        <is>
          <t>Quote 3 (₹/unit)</t>
        </is>
      </c>
      <c r="K5" s="21" t="inlineStr">
        <is>
          <t>Best quote</t>
        </is>
      </c>
      <c r="L5" s="21" t="inlineStr">
        <is>
          <t>Line total</t>
        </is>
      </c>
      <c r="M5" s="21" t="inlineStr">
        <is>
          <t>Check before you pay</t>
        </is>
      </c>
    </row>
    <row r="6" ht="40" customHeight="1">
      <c r="B6" s="33" t="inlineStr">
        <is>
          <t>Bartending tools</t>
        </is>
      </c>
      <c r="C6" s="34" t="inlineStr">
        <is>
          <t>Cocktail shaker (Boston or three-piece)</t>
        </is>
      </c>
      <c r="D6" s="23" t="inlineStr">
        <is>
          <t>Food-grade stainless steel, commercial weight, no visible seams. A light shaker dents on the first drop.</t>
        </is>
      </c>
      <c r="E6" s="35" t="inlineStr">
        <is>
          <t>Day one</t>
        </is>
      </c>
      <c r="F6" s="36">
        <f>2*'Bar Profile'!$C$7</f>
        <v/>
      </c>
      <c r="G6" s="22">
        <f>F6</f>
        <v/>
      </c>
      <c r="H6" s="37" t="n"/>
      <c r="I6" s="37" t="n"/>
      <c r="J6" s="37" t="n"/>
      <c r="K6" s="38">
        <f>IF(COUNTIF(H6:J6,"&gt;0")=0,"",MIN(IF(AND(ISNUMBER(H6),H6&gt;0),H6,9E+99),IF(AND(ISNUMBER(I6),I6&gt;0),I6,9E+99),IF(AND(ISNUMBER(J6),J6&gt;0),J6,9E+99)))</f>
        <v/>
      </c>
      <c r="L6" s="39">
        <f>IFERROR(G6*K6,"")</f>
        <v/>
      </c>
      <c r="M6" s="23" t="inlineStr"/>
    </row>
    <row r="7" ht="53" customHeight="1">
      <c r="B7" s="33" t="inlineStr">
        <is>
          <t>Bartending tools</t>
        </is>
      </c>
      <c r="C7" s="34" t="inlineStr">
        <is>
          <t>Jigger or peg measure</t>
        </is>
      </c>
      <c r="D7" s="23" t="inlineStr">
        <is>
          <t>Must be verifiable under Legal Metrology. Ask the supplier in writing before you order.</t>
        </is>
      </c>
      <c r="E7" s="35" t="inlineStr">
        <is>
          <t>Day one</t>
        </is>
      </c>
      <c r="F7" s="36">
        <f>4*'Bar Profile'!$C$7</f>
        <v/>
      </c>
      <c r="G7" s="22">
        <f>F7</f>
        <v/>
      </c>
      <c r="H7" s="37" t="n"/>
      <c r="I7" s="37" t="n"/>
      <c r="J7" s="37" t="n"/>
      <c r="K7" s="38">
        <f>IF(COUNTIF(H7:J7,"&gt;0")=0,"",MIN(IF(AND(ISNUMBER(H7),H7&gt;0),H7,9E+99),IF(AND(ISNUMBER(I7),I7&gt;0),I7,9E+99),IF(AND(ISNUMBER(J7),J7&gt;0),J7,9E+99)))</f>
        <v/>
      </c>
      <c r="L7" s="39">
        <f>IFERROR(G7*K7,"")</f>
        <v/>
      </c>
      <c r="M7" s="40" t="inlineStr">
        <is>
          <t>If you sell by measure, it needs legal metrology stamping before use. See Before You Buy.</t>
        </is>
      </c>
    </row>
    <row r="8" ht="40" customHeight="1">
      <c r="B8" s="33" t="inlineStr">
        <is>
          <t>Bartending tools</t>
        </is>
      </c>
      <c r="C8" s="34" t="inlineStr">
        <is>
          <t>Bar spoon</t>
        </is>
      </c>
      <c r="D8" s="23" t="inlineStr">
        <is>
          <t>Long enough to reach the base of your tallest mixing glass. These bend, so order spares.</t>
        </is>
      </c>
      <c r="E8" s="35" t="inlineStr">
        <is>
          <t>Day one</t>
        </is>
      </c>
      <c r="F8" s="36">
        <f>3*'Bar Profile'!$C$7</f>
        <v/>
      </c>
      <c r="G8" s="22">
        <f>F8</f>
        <v/>
      </c>
      <c r="H8" s="37" t="n"/>
      <c r="I8" s="37" t="n"/>
      <c r="J8" s="37" t="n"/>
      <c r="K8" s="38">
        <f>IF(COUNTIF(H8:J8,"&gt;0")=0,"",MIN(IF(AND(ISNUMBER(H8),H8&gt;0),H8,9E+99),IF(AND(ISNUMBER(I8),I8&gt;0),I8,9E+99),IF(AND(ISNUMBER(J8),J8&gt;0),J8,9E+99)))</f>
        <v/>
      </c>
      <c r="L8" s="39">
        <f>IFERROR(G8*K8,"")</f>
        <v/>
      </c>
      <c r="M8" s="23" t="inlineStr"/>
    </row>
    <row r="9" ht="27" customHeight="1">
      <c r="B9" s="33" t="inlineStr">
        <is>
          <t>Bartending tools</t>
        </is>
      </c>
      <c r="C9" s="34" t="inlineStr">
        <is>
          <t>Hawthorne strainer</t>
        </is>
      </c>
      <c r="D9" s="23" t="inlineStr">
        <is>
          <t>Tight spring. A loose one lets ice chips through and the drink looks wrong.</t>
        </is>
      </c>
      <c r="E9" s="35" t="inlineStr">
        <is>
          <t>Day one</t>
        </is>
      </c>
      <c r="F9" s="36">
        <f>2*'Bar Profile'!$C$7</f>
        <v/>
      </c>
      <c r="G9" s="22">
        <f>F9</f>
        <v/>
      </c>
      <c r="H9" s="37" t="n"/>
      <c r="I9" s="37" t="n"/>
      <c r="J9" s="37" t="n"/>
      <c r="K9" s="38">
        <f>IF(COUNTIF(H9:J9,"&gt;0")=0,"",MIN(IF(AND(ISNUMBER(H9),H9&gt;0),H9,9E+99),IF(AND(ISNUMBER(I9),I9&gt;0),I9,9E+99),IF(AND(ISNUMBER(J9),J9&gt;0),J9,9E+99)))</f>
        <v/>
      </c>
      <c r="L9" s="39">
        <f>IFERROR(G9*K9,"")</f>
        <v/>
      </c>
      <c r="M9" s="23" t="inlineStr"/>
    </row>
    <row r="10" ht="27" customHeight="1">
      <c r="B10" s="33" t="inlineStr">
        <is>
          <t>Bartending tools</t>
        </is>
      </c>
      <c r="C10" s="34" t="inlineStr">
        <is>
          <t>Fine mesh strainer</t>
        </is>
      </c>
      <c r="D10" s="23" t="inlineStr">
        <is>
          <t>For seeds and small pulp when a clear drink matters.</t>
        </is>
      </c>
      <c r="E10" s="41" t="inlineStr">
        <is>
          <t>Later</t>
        </is>
      </c>
      <c r="F10" s="36">
        <f>1*'Bar Profile'!$C$7</f>
        <v/>
      </c>
      <c r="G10" s="22">
        <f>F10</f>
        <v/>
      </c>
      <c r="H10" s="37" t="n"/>
      <c r="I10" s="37" t="n"/>
      <c r="J10" s="37" t="n"/>
      <c r="K10" s="38">
        <f>IF(COUNTIF(H10:J10,"&gt;0")=0,"",MIN(IF(AND(ISNUMBER(H10),H10&gt;0),H10,9E+99),IF(AND(ISNUMBER(I10),I10&gt;0),I10,9E+99),IF(AND(ISNUMBER(J10),J10&gt;0),J10,9E+99)))</f>
        <v/>
      </c>
      <c r="L10" s="39">
        <f>IFERROR(G10*K10,"")</f>
        <v/>
      </c>
      <c r="M10" s="23" t="inlineStr"/>
    </row>
    <row r="11" ht="27" customHeight="1">
      <c r="B11" s="33" t="inlineStr">
        <is>
          <t>Bartending tools</t>
        </is>
      </c>
      <c r="C11" s="34" t="inlineStr">
        <is>
          <t>Muddler</t>
        </is>
      </c>
      <c r="D11" s="23" t="inlineStr">
        <is>
          <t>Unvarnished wood or food-grade nylon. Varnish lifts into the drink.</t>
        </is>
      </c>
      <c r="E11" s="35" t="inlineStr">
        <is>
          <t>Day one</t>
        </is>
      </c>
      <c r="F11" s="36">
        <f>1*'Bar Profile'!$C$7</f>
        <v/>
      </c>
      <c r="G11" s="22">
        <f>F11</f>
        <v/>
      </c>
      <c r="H11" s="37" t="n"/>
      <c r="I11" s="37" t="n"/>
      <c r="J11" s="37" t="n"/>
      <c r="K11" s="38">
        <f>IF(COUNTIF(H11:J11,"&gt;0")=0,"",MIN(IF(AND(ISNUMBER(H11),H11&gt;0),H11,9E+99),IF(AND(ISNUMBER(I11),I11&gt;0),I11,9E+99),IF(AND(ISNUMBER(J11),J11&gt;0),J11,9E+99)))</f>
        <v/>
      </c>
      <c r="L11" s="39">
        <f>IFERROR(G11*K11,"")</f>
        <v/>
      </c>
      <c r="M11" s="23" t="inlineStr"/>
    </row>
    <row r="12" ht="27" customHeight="1">
      <c r="B12" s="33" t="inlineStr">
        <is>
          <t>Bartending tools</t>
        </is>
      </c>
      <c r="C12" s="34" t="inlineStr">
        <is>
          <t>Speed pourers</t>
        </is>
      </c>
      <c r="D12" s="23" t="inlineStr">
        <is>
          <t>Buy well over the bottle count. These get pulled off at closing and vanish.</t>
        </is>
      </c>
      <c r="E12" s="35" t="inlineStr">
        <is>
          <t>Day one</t>
        </is>
      </c>
      <c r="F12" s="36">
        <f>ROUNDUP(12*'Bar Profile'!$C$7*(1+'Bar Profile'!$C$19),0)</f>
        <v/>
      </c>
      <c r="G12" s="22">
        <f>F12</f>
        <v/>
      </c>
      <c r="H12" s="37" t="n"/>
      <c r="I12" s="37" t="n"/>
      <c r="J12" s="37" t="n"/>
      <c r="K12" s="38">
        <f>IF(COUNTIF(H12:J12,"&gt;0")=0,"",MIN(IF(AND(ISNUMBER(H12),H12&gt;0),H12,9E+99),IF(AND(ISNUMBER(I12),I12&gt;0),I12,9E+99),IF(AND(ISNUMBER(J12),J12&gt;0),J12,9E+99)))</f>
        <v/>
      </c>
      <c r="L12" s="39">
        <f>IFERROR(G12*K12,"")</f>
        <v/>
      </c>
      <c r="M12" s="23" t="inlineStr"/>
    </row>
    <row r="13" ht="40" customHeight="1">
      <c r="B13" s="33" t="inlineStr">
        <is>
          <t>Bartending tools</t>
        </is>
      </c>
      <c r="C13" s="34" t="inlineStr">
        <is>
          <t>Ice tongs</t>
        </is>
      </c>
      <c r="D13" s="23" t="inlineStr">
        <is>
          <t>Nobody should be touching ice by hand. It is one of the easiest hygiene points to lose.</t>
        </is>
      </c>
      <c r="E13" s="35" t="inlineStr">
        <is>
          <t>Day one</t>
        </is>
      </c>
      <c r="F13" s="36">
        <f>2*'Bar Profile'!$C$7</f>
        <v/>
      </c>
      <c r="G13" s="22">
        <f>F13</f>
        <v/>
      </c>
      <c r="H13" s="37" t="n"/>
      <c r="I13" s="37" t="n"/>
      <c r="J13" s="37" t="n"/>
      <c r="K13" s="38">
        <f>IF(COUNTIF(H13:J13,"&gt;0")=0,"",MIN(IF(AND(ISNUMBER(H13),H13&gt;0),H13,9E+99),IF(AND(ISNUMBER(I13),I13&gt;0),I13,9E+99),IF(AND(ISNUMBER(J13),J13&gt;0),J13,9E+99)))</f>
        <v/>
      </c>
      <c r="L13" s="39">
        <f>IFERROR(G13*K13,"")</f>
        <v/>
      </c>
      <c r="M13" s="23" t="inlineStr"/>
    </row>
    <row r="14" ht="27" customHeight="1">
      <c r="B14" s="33" t="inlineStr">
        <is>
          <t>Bartending tools</t>
        </is>
      </c>
      <c r="C14" s="34" t="inlineStr">
        <is>
          <t>Mixing glass</t>
        </is>
      </c>
      <c r="D14" s="23" t="inlineStr">
        <is>
          <t>Heavy base, so it does not walk across the counter while being stirred.</t>
        </is>
      </c>
      <c r="E14" s="35" t="inlineStr">
        <is>
          <t>Day one</t>
        </is>
      </c>
      <c r="F14" s="36">
        <f>1*'Bar Profile'!$C$7</f>
        <v/>
      </c>
      <c r="G14" s="22">
        <f>F14</f>
        <v/>
      </c>
      <c r="H14" s="37" t="n"/>
      <c r="I14" s="37" t="n"/>
      <c r="J14" s="37" t="n"/>
      <c r="K14" s="38">
        <f>IF(COUNTIF(H14:J14,"&gt;0")=0,"",MIN(IF(AND(ISNUMBER(H14),H14&gt;0),H14,9E+99),IF(AND(ISNUMBER(I14),I14&gt;0),I14,9E+99),IF(AND(ISNUMBER(J14),J14&gt;0),J14,9E+99)))</f>
        <v/>
      </c>
      <c r="L14" s="39">
        <f>IFERROR(G14*K14,"")</f>
        <v/>
      </c>
      <c r="M14" s="23" t="inlineStr"/>
    </row>
    <row r="15" ht="27" customHeight="1">
      <c r="B15" s="33" t="inlineStr">
        <is>
          <t>Bartending tools</t>
        </is>
      </c>
      <c r="C15" s="34" t="inlineStr">
        <is>
          <t>Bottle opener and corkscrew</t>
        </is>
      </c>
      <c r="D15" s="23" t="inlineStr">
        <is>
          <t>One waiter's friend per bartender, plus a fixed opener on the under bar.</t>
        </is>
      </c>
      <c r="E15" s="35" t="inlineStr">
        <is>
          <t>Day one</t>
        </is>
      </c>
      <c r="F15" s="36">
        <f>2*'Bar Profile'!$C$7</f>
        <v/>
      </c>
      <c r="G15" s="22">
        <f>F15</f>
        <v/>
      </c>
      <c r="H15" s="37" t="n"/>
      <c r="I15" s="37" t="n"/>
      <c r="J15" s="37" t="n"/>
      <c r="K15" s="38">
        <f>IF(COUNTIF(H15:J15,"&gt;0")=0,"",MIN(IF(AND(ISNUMBER(H15),H15&gt;0),H15,9E+99),IF(AND(ISNUMBER(I15),I15&gt;0),I15,9E+99),IF(AND(ISNUMBER(J15),J15&gt;0),J15,9E+99)))</f>
        <v/>
      </c>
      <c r="L15" s="39">
        <f>IFERROR(G15*K15,"")</f>
        <v/>
      </c>
      <c r="M15" s="23" t="inlineStr"/>
    </row>
    <row r="16" ht="27" customHeight="1">
      <c r="B16" s="33" t="inlineStr">
        <is>
          <t>Bartending tools</t>
        </is>
      </c>
      <c r="C16" s="34" t="inlineStr">
        <is>
          <t>Rimmer (salt and sugar tray)</t>
        </is>
      </c>
      <c r="D16" s="23" t="inlineStr">
        <is>
          <t>Only if the menu has rimmed drinks.</t>
        </is>
      </c>
      <c r="E16" s="41" t="inlineStr">
        <is>
          <t>Later</t>
        </is>
      </c>
      <c r="F16" s="36">
        <f>1</f>
        <v/>
      </c>
      <c r="G16" s="22">
        <f>F16</f>
        <v/>
      </c>
      <c r="H16" s="37" t="n"/>
      <c r="I16" s="37" t="n"/>
      <c r="J16" s="37" t="n"/>
      <c r="K16" s="38">
        <f>IF(COUNTIF(H16:J16,"&gt;0")=0,"",MIN(IF(AND(ISNUMBER(H16),H16&gt;0),H16,9E+99),IF(AND(ISNUMBER(I16),I16&gt;0),I16,9E+99),IF(AND(ISNUMBER(J16),J16&gt;0),J16,9E+99)))</f>
        <v/>
      </c>
      <c r="L16" s="39">
        <f>IFERROR(G16*K16,"")</f>
        <v/>
      </c>
      <c r="M16" s="23" t="inlineStr"/>
    </row>
    <row r="17" ht="27" customHeight="1">
      <c r="B17" s="33" t="inlineStr">
        <is>
          <t>Bartending tools</t>
        </is>
      </c>
      <c r="C17" s="34" t="inlineStr">
        <is>
          <t>Citrus knife and small board</t>
        </is>
      </c>
      <c r="D17" s="23" t="inlineStr">
        <is>
          <t>Kept at the bar, never borrowed from the kitchen.</t>
        </is>
      </c>
      <c r="E17" s="35" t="inlineStr">
        <is>
          <t>Day one</t>
        </is>
      </c>
      <c r="F17" s="36">
        <f>1*'Bar Profile'!$C$7</f>
        <v/>
      </c>
      <c r="G17" s="22">
        <f>F17</f>
        <v/>
      </c>
      <c r="H17" s="37" t="n"/>
      <c r="I17" s="37" t="n"/>
      <c r="J17" s="37" t="n"/>
      <c r="K17" s="38">
        <f>IF(COUNTIF(H17:J17,"&gt;0")=0,"",MIN(IF(AND(ISNUMBER(H17),H17&gt;0),H17,9E+99),IF(AND(ISNUMBER(I17),I17&gt;0),I17,9E+99),IF(AND(ISNUMBER(J17),J17&gt;0),J17,9E+99)))</f>
        <v/>
      </c>
      <c r="L17" s="39">
        <f>IFERROR(G17*K17,"")</f>
        <v/>
      </c>
      <c r="M17" s="23" t="inlineStr"/>
    </row>
    <row r="18" ht="27" customHeight="1">
      <c r="B18" s="33" t="inlineStr">
        <is>
          <t>Bartending tools</t>
        </is>
      </c>
      <c r="C18" s="34" t="inlineStr">
        <is>
          <t>Pour spout dust caps</t>
        </is>
      </c>
      <c r="D18" s="23" t="inlineStr">
        <is>
          <t>Keeps fruit flies out of an open bottle overnight. Cheap, and a hygiene point.</t>
        </is>
      </c>
      <c r="E18" s="35" t="inlineStr">
        <is>
          <t>Day one</t>
        </is>
      </c>
      <c r="F18" s="36">
        <f>ROUNDUP(12*'Bar Profile'!$C$7,0)</f>
        <v/>
      </c>
      <c r="G18" s="22">
        <f>F18</f>
        <v/>
      </c>
      <c r="H18" s="37" t="n"/>
      <c r="I18" s="37" t="n"/>
      <c r="J18" s="37" t="n"/>
      <c r="K18" s="38">
        <f>IF(COUNTIF(H18:J18,"&gt;0")=0,"",MIN(IF(AND(ISNUMBER(H18),H18&gt;0),H18,9E+99),IF(AND(ISNUMBER(I18),I18&gt;0),I18,9E+99),IF(AND(ISNUMBER(J18),J18&gt;0),J18,9E+99)))</f>
        <v/>
      </c>
      <c r="L18" s="39">
        <f>IFERROR(G18*K18,"")</f>
        <v/>
      </c>
      <c r="M18" s="23" t="inlineStr"/>
    </row>
    <row r="19" ht="27" customHeight="1">
      <c r="B19" s="33" t="inlineStr">
        <is>
          <t>Glassware</t>
        </is>
      </c>
      <c r="C19" s="34" t="inlineStr">
        <is>
          <t>Highball or Collins glasses</t>
        </is>
      </c>
      <c r="D19" s="23" t="inlineStr">
        <is>
          <t>Tempered rim if you can get it. Rim chips are the usual reason a glass is binned.</t>
        </is>
      </c>
      <c r="E19" s="35" t="inlineStr">
        <is>
          <t>Day one</t>
        </is>
      </c>
      <c r="F19" s="36">
        <f>ROUNDUP('Bar Profile'!$C$6*'Bar Profile'!$C$18*'Bar Profile'!$C$25*(1+'Bar Profile'!$C$19),0)</f>
        <v/>
      </c>
      <c r="G19" s="22">
        <f>F19</f>
        <v/>
      </c>
      <c r="H19" s="37" t="n"/>
      <c r="I19" s="37" t="n"/>
      <c r="J19" s="37" t="n"/>
      <c r="K19" s="38">
        <f>IF(COUNTIF(H19:J19,"&gt;0")=0,"",MIN(IF(AND(ISNUMBER(H19),H19&gt;0),H19,9E+99),IF(AND(ISNUMBER(I19),I19&gt;0),I19,9E+99),IF(AND(ISNUMBER(J19),J19&gt;0),J19,9E+99)))</f>
        <v/>
      </c>
      <c r="L19" s="39">
        <f>IFERROR(G19*K19,"")</f>
        <v/>
      </c>
      <c r="M19" s="23" t="inlineStr"/>
    </row>
    <row r="20" ht="27" customHeight="1">
      <c r="B20" s="33" t="inlineStr">
        <is>
          <t>Glassware</t>
        </is>
      </c>
      <c r="C20" s="34" t="inlineStr">
        <is>
          <t>Rocks or old fashioned glasses</t>
        </is>
      </c>
      <c r="D20" s="23" t="inlineStr">
        <is>
          <t>Heavy base. These take the most handling.</t>
        </is>
      </c>
      <c r="E20" s="35" t="inlineStr">
        <is>
          <t>Day one</t>
        </is>
      </c>
      <c r="F20" s="36">
        <f>ROUNDUP('Bar Profile'!$C$6*'Bar Profile'!$C$18*'Bar Profile'!$C$26*(1+'Bar Profile'!$C$19),0)</f>
        <v/>
      </c>
      <c r="G20" s="22">
        <f>F20</f>
        <v/>
      </c>
      <c r="H20" s="37" t="n"/>
      <c r="I20" s="37" t="n"/>
      <c r="J20" s="37" t="n"/>
      <c r="K20" s="38">
        <f>IF(COUNTIF(H20:J20,"&gt;0")=0,"",MIN(IF(AND(ISNUMBER(H20),H20&gt;0),H20,9E+99),IF(AND(ISNUMBER(I20),I20&gt;0),I20,9E+99),IF(AND(ISNUMBER(J20),J20&gt;0),J20,9E+99)))</f>
        <v/>
      </c>
      <c r="L20" s="39">
        <f>IFERROR(G20*K20,"")</f>
        <v/>
      </c>
      <c r="M20" s="23" t="inlineStr"/>
    </row>
    <row r="21" ht="40" customHeight="1">
      <c r="B21" s="33" t="inlineStr">
        <is>
          <t>Glassware</t>
        </is>
      </c>
      <c r="C21" s="34" t="inlineStr">
        <is>
          <t>Beer glasses</t>
        </is>
      </c>
      <c r="D21" s="23" t="inlineStr">
        <is>
          <t>Match the style your draught or bottle brand expects. Bottle service needs fewer shapes than draught.</t>
        </is>
      </c>
      <c r="E21" s="35" t="inlineStr">
        <is>
          <t>Day one</t>
        </is>
      </c>
      <c r="F21" s="36">
        <f>ROUNDUP('Bar Profile'!$C$6*'Bar Profile'!$C$18*'Bar Profile'!$C$27*(1+'Bar Profile'!$C$19),0)</f>
        <v/>
      </c>
      <c r="G21" s="22">
        <f>F21</f>
        <v/>
      </c>
      <c r="H21" s="37" t="n"/>
      <c r="I21" s="37" t="n"/>
      <c r="J21" s="37" t="n"/>
      <c r="K21" s="38">
        <f>IF(COUNTIF(H21:J21,"&gt;0")=0,"",MIN(IF(AND(ISNUMBER(H21),H21&gt;0),H21,9E+99),IF(AND(ISNUMBER(I21),I21&gt;0),I21,9E+99),IF(AND(ISNUMBER(J21),J21&gt;0),J21,9E+99)))</f>
        <v/>
      </c>
      <c r="L21" s="39">
        <f>IFERROR(G21*K21,"")</f>
        <v/>
      </c>
      <c r="M21" s="23" t="inlineStr"/>
    </row>
    <row r="22" ht="27" customHeight="1">
      <c r="B22" s="33" t="inlineStr">
        <is>
          <t>Glassware</t>
        </is>
      </c>
      <c r="C22" s="34" t="inlineStr">
        <is>
          <t>Wine glasses</t>
        </is>
      </c>
      <c r="D22" s="23" t="inlineStr">
        <is>
          <t>One shape covers red and white unless the list justifies two.</t>
        </is>
      </c>
      <c r="E22" s="35" t="inlineStr">
        <is>
          <t>Day one</t>
        </is>
      </c>
      <c r="F22" s="36">
        <f>ROUNDUP('Bar Profile'!$C$6*'Bar Profile'!$C$18*'Bar Profile'!$C$28*(1+'Bar Profile'!$C$19),0)</f>
        <v/>
      </c>
      <c r="G22" s="22">
        <f>F22</f>
        <v/>
      </c>
      <c r="H22" s="37" t="n"/>
      <c r="I22" s="37" t="n"/>
      <c r="J22" s="37" t="n"/>
      <c r="K22" s="38">
        <f>IF(COUNTIF(H22:J22,"&gt;0")=0,"",MIN(IF(AND(ISNUMBER(H22),H22&gt;0),H22,9E+99),IF(AND(ISNUMBER(I22),I22&gt;0),I22,9E+99),IF(AND(ISNUMBER(J22),J22&gt;0),J22,9E+99)))</f>
        <v/>
      </c>
      <c r="L22" s="39">
        <f>IFERROR(G22*K22,"")</f>
        <v/>
      </c>
      <c r="M22" s="23" t="inlineStr"/>
    </row>
    <row r="23" ht="27" customHeight="1">
      <c r="B23" s="33" t="inlineStr">
        <is>
          <t>Glassware</t>
        </is>
      </c>
      <c r="C23" s="34" t="inlineStr">
        <is>
          <t>Cocktail or coupe glasses</t>
        </is>
      </c>
      <c r="D23" s="23" t="inlineStr">
        <is>
          <t>Only the shapes your opening menu actually uses. Add later for new drinks.</t>
        </is>
      </c>
      <c r="E23" s="35" t="inlineStr">
        <is>
          <t>Day one</t>
        </is>
      </c>
      <c r="F23" s="36">
        <f>ROUNDUP('Bar Profile'!$C$6*'Bar Profile'!$C$18*'Bar Profile'!$C$29*(1+'Bar Profile'!$C$19),0)</f>
        <v/>
      </c>
      <c r="G23" s="22">
        <f>F23</f>
        <v/>
      </c>
      <c r="H23" s="37" t="n"/>
      <c r="I23" s="37" t="n"/>
      <c r="J23" s="37" t="n"/>
      <c r="K23" s="38">
        <f>IF(COUNTIF(H23:J23,"&gt;0")=0,"",MIN(IF(AND(ISNUMBER(H23),H23&gt;0),H23,9E+99),IF(AND(ISNUMBER(I23),I23&gt;0),I23,9E+99),IF(AND(ISNUMBER(J23),J23&gt;0),J23,9E+99)))</f>
        <v/>
      </c>
      <c r="L23" s="39">
        <f>IFERROR(G23*K23,"")</f>
        <v/>
      </c>
      <c r="M23" s="23" t="inlineStr"/>
    </row>
    <row r="24" ht="27" customHeight="1">
      <c r="B24" s="33" t="inlineStr">
        <is>
          <t>Glassware</t>
        </is>
      </c>
      <c r="C24" s="34" t="inlineStr">
        <is>
          <t>Shot glasses</t>
        </is>
      </c>
      <c r="D24" s="23" t="inlineStr">
        <is>
          <t>If you serve by peg, the glass is not the measure. The stamped jigger is.</t>
        </is>
      </c>
      <c r="E24" s="35" t="inlineStr">
        <is>
          <t>Day one</t>
        </is>
      </c>
      <c r="F24" s="36">
        <f>ROUNDUP('Bar Profile'!$C$6*'Bar Profile'!$C$18*'Bar Profile'!$C$30*(1+'Bar Profile'!$C$19),0)</f>
        <v/>
      </c>
      <c r="G24" s="22">
        <f>F24</f>
        <v/>
      </c>
      <c r="H24" s="37" t="n"/>
      <c r="I24" s="37" t="n"/>
      <c r="J24" s="37" t="n"/>
      <c r="K24" s="38">
        <f>IF(COUNTIF(H24:J24,"&gt;0")=0,"",MIN(IF(AND(ISNUMBER(H24),H24&gt;0),H24,9E+99),IF(AND(ISNUMBER(I24),I24&gt;0),I24,9E+99),IF(AND(ISNUMBER(J24),J24&gt;0),J24,9E+99)))</f>
        <v/>
      </c>
      <c r="L24" s="39">
        <f>IFERROR(G24*K24,"")</f>
        <v/>
      </c>
      <c r="M24" s="40" t="inlineStr">
        <is>
          <t>The glass does not replace a stamped measure.</t>
        </is>
      </c>
    </row>
    <row r="25" ht="27" customHeight="1">
      <c r="B25" s="33" t="inlineStr">
        <is>
          <t>Glassware</t>
        </is>
      </c>
      <c r="C25" s="34" t="inlineStr">
        <is>
          <t>Glass racks or crates for storage</t>
        </is>
      </c>
      <c r="D25" s="23" t="inlineStr">
        <is>
          <t>Stacking glasses rim-down on a cloth is how rims chip.</t>
        </is>
      </c>
      <c r="E25" s="35" t="inlineStr">
        <is>
          <t>Day one</t>
        </is>
      </c>
      <c r="F25" s="36">
        <f>ROUNDUP('Bar Profile'!$C$6*'Bar Profile'!$C$18/25,0)</f>
        <v/>
      </c>
      <c r="G25" s="22">
        <f>F25</f>
        <v/>
      </c>
      <c r="H25" s="37" t="n"/>
      <c r="I25" s="37" t="n"/>
      <c r="J25" s="37" t="n"/>
      <c r="K25" s="38">
        <f>IF(COUNTIF(H25:J25,"&gt;0")=0,"",MIN(IF(AND(ISNUMBER(H25),H25&gt;0),H25,9E+99),IF(AND(ISNUMBER(I25),I25&gt;0),I25,9E+99),IF(AND(ISNUMBER(J25),J25&gt;0),J25,9E+99)))</f>
        <v/>
      </c>
      <c r="L25" s="39">
        <f>IFERROR(G25*K25,"")</f>
        <v/>
      </c>
      <c r="M25" s="23" t="inlineStr"/>
    </row>
    <row r="26" ht="53" customHeight="1">
      <c r="B26" s="33" t="inlineStr">
        <is>
          <t>Ice and cold</t>
        </is>
      </c>
      <c r="C26" s="34" t="inlineStr">
        <is>
          <t>Ice machine</t>
        </is>
      </c>
      <c r="D26" s="23" t="inlineStr">
        <is>
          <t>Size the daily output against your busiest evening, not your average. Check the inlet water and the drain before the machine arrives.</t>
        </is>
      </c>
      <c r="E26" s="35" t="inlineStr">
        <is>
          <t>Day one</t>
        </is>
      </c>
      <c r="F26" s="36">
        <f>1</f>
        <v/>
      </c>
      <c r="G26" s="22">
        <f>F26</f>
        <v/>
      </c>
      <c r="H26" s="37" t="n"/>
      <c r="I26" s="37" t="n"/>
      <c r="J26" s="37" t="n"/>
      <c r="K26" s="38">
        <f>IF(COUNTIF(H26:J26,"&gt;0")=0,"",MIN(IF(AND(ISNUMBER(H26),H26&gt;0),H26,9E+99),IF(AND(ISNUMBER(I26),I26&gt;0),I26,9E+99),IF(AND(ISNUMBER(J26),J26&gt;0),J26,9E+99)))</f>
        <v/>
      </c>
      <c r="L26" s="39">
        <f>IFERROR(G26*K26,"")</f>
        <v/>
      </c>
      <c r="M26" s="40" t="inlineStr">
        <is>
          <t>Sized from the Bar Profile ice figure.</t>
        </is>
      </c>
    </row>
    <row r="27" ht="40" customHeight="1">
      <c r="B27" s="33" t="inlineStr">
        <is>
          <t>Ice and cold</t>
        </is>
      </c>
      <c r="C27" s="34" t="inlineStr">
        <is>
          <t>Ice bin or insulated ice well</t>
        </is>
      </c>
      <c r="D27" s="23" t="inlineStr">
        <is>
          <t>Under the counter, within reach. A bartender turning around for ice loses seconds on every drink.</t>
        </is>
      </c>
      <c r="E27" s="35" t="inlineStr">
        <is>
          <t>Day one</t>
        </is>
      </c>
      <c r="F27" s="36">
        <f>1*'Bar Profile'!$C$7</f>
        <v/>
      </c>
      <c r="G27" s="22">
        <f>F27</f>
        <v/>
      </c>
      <c r="H27" s="37" t="n"/>
      <c r="I27" s="37" t="n"/>
      <c r="J27" s="37" t="n"/>
      <c r="K27" s="38">
        <f>IF(COUNTIF(H27:J27,"&gt;0")=0,"",MIN(IF(AND(ISNUMBER(H27),H27&gt;0),H27,9E+99),IF(AND(ISNUMBER(I27),I27&gt;0),I27,9E+99),IF(AND(ISNUMBER(J27),J27&gt;0),J27,9E+99)))</f>
        <v/>
      </c>
      <c r="L27" s="39">
        <f>IFERROR(G27*K27,"")</f>
        <v/>
      </c>
      <c r="M27" s="23" t="inlineStr"/>
    </row>
    <row r="28" ht="27" customHeight="1">
      <c r="B28" s="33" t="inlineStr">
        <is>
          <t>Ice and cold</t>
        </is>
      </c>
      <c r="C28" s="34" t="inlineStr">
        <is>
          <t>Ice scoop</t>
        </is>
      </c>
      <c r="D28" s="23" t="inlineStr">
        <is>
          <t>Never a glass. A glass used as a scoop chips inside the ice.</t>
        </is>
      </c>
      <c r="E28" s="35" t="inlineStr">
        <is>
          <t>Day one</t>
        </is>
      </c>
      <c r="F28" s="36">
        <f>2*'Bar Profile'!$C$7</f>
        <v/>
      </c>
      <c r="G28" s="22">
        <f>F28</f>
        <v/>
      </c>
      <c r="H28" s="37" t="n"/>
      <c r="I28" s="37" t="n"/>
      <c r="J28" s="37" t="n"/>
      <c r="K28" s="38">
        <f>IF(COUNTIF(H28:J28,"&gt;0")=0,"",MIN(IF(AND(ISNUMBER(H28),H28&gt;0),H28,9E+99),IF(AND(ISNUMBER(I28),I28&gt;0),I28,9E+99),IF(AND(ISNUMBER(J28),J28&gt;0),J28,9E+99)))</f>
        <v/>
      </c>
      <c r="L28" s="39">
        <f>IFERROR(G28*K28,"")</f>
        <v/>
      </c>
      <c r="M28" s="23" t="inlineStr"/>
    </row>
    <row r="29">
      <c r="B29" s="33" t="inlineStr">
        <is>
          <t>Ice and cold</t>
        </is>
      </c>
      <c r="C29" s="34" t="inlineStr">
        <is>
          <t>Ice bucket for table service</t>
        </is>
      </c>
      <c r="D29" s="23" t="inlineStr">
        <is>
          <t>Only if bottles go to the table.</t>
        </is>
      </c>
      <c r="E29" s="41" t="inlineStr">
        <is>
          <t>Later</t>
        </is>
      </c>
      <c r="F29" s="36">
        <f>2</f>
        <v/>
      </c>
      <c r="G29" s="22">
        <f>F29</f>
        <v/>
      </c>
      <c r="H29" s="37" t="n"/>
      <c r="I29" s="37" t="n"/>
      <c r="J29" s="37" t="n"/>
      <c r="K29" s="38">
        <f>IF(COUNTIF(H29:J29,"&gt;0")=0,"",MIN(IF(AND(ISNUMBER(H29),H29&gt;0),H29,9E+99),IF(AND(ISNUMBER(I29),I29&gt;0),I29,9E+99),IF(AND(ISNUMBER(J29),J29&gt;0),J29,9E+99)))</f>
        <v/>
      </c>
      <c r="L29" s="39">
        <f>IFERROR(G29*K29,"")</f>
        <v/>
      </c>
      <c r="M29" s="23" t="inlineStr"/>
    </row>
    <row r="30" ht="27" customHeight="1">
      <c r="B30" s="33" t="inlineStr">
        <is>
          <t>Ice and cold</t>
        </is>
      </c>
      <c r="C30" s="34" t="inlineStr">
        <is>
          <t>Bottle cooler (back bar)</t>
        </is>
      </c>
      <c r="D30" s="23" t="inlineStr">
        <is>
          <t>Holds what you are actively selling at serving temperature.</t>
        </is>
      </c>
      <c r="E30" s="35" t="inlineStr">
        <is>
          <t>Day one</t>
        </is>
      </c>
      <c r="F30" s="36">
        <f>1</f>
        <v/>
      </c>
      <c r="G30" s="22">
        <f>F30</f>
        <v/>
      </c>
      <c r="H30" s="37" t="n"/>
      <c r="I30" s="37" t="n"/>
      <c r="J30" s="37" t="n"/>
      <c r="K30" s="38">
        <f>IF(COUNTIF(H30:J30,"&gt;0")=0,"",MIN(IF(AND(ISNUMBER(H30),H30&gt;0),H30,9E+99),IF(AND(ISNUMBER(I30),I30&gt;0),I30,9E+99),IF(AND(ISNUMBER(J30),J30&gt;0),J30,9E+99)))</f>
        <v/>
      </c>
      <c r="L30" s="39">
        <f>IFERROR(G30*K30,"")</f>
        <v/>
      </c>
      <c r="M30" s="23" t="inlineStr"/>
    </row>
    <row r="31" ht="27" customHeight="1">
      <c r="B31" s="33" t="inlineStr">
        <is>
          <t>Ice and cold</t>
        </is>
      </c>
      <c r="C31" s="34" t="inlineStr">
        <is>
          <t>Under-counter chiller</t>
        </is>
      </c>
      <c r="D31" s="23" t="inlineStr">
        <is>
          <t>Backup stock, juices and garnish, so nobody walks to the kitchen mid-order.</t>
        </is>
      </c>
      <c r="E31" s="35" t="inlineStr">
        <is>
          <t>Day one</t>
        </is>
      </c>
      <c r="F31" s="36">
        <f>1</f>
        <v/>
      </c>
      <c r="G31" s="22">
        <f>F31</f>
        <v/>
      </c>
      <c r="H31" s="37" t="n"/>
      <c r="I31" s="37" t="n"/>
      <c r="J31" s="37" t="n"/>
      <c r="K31" s="38">
        <f>IF(COUNTIF(H31:J31,"&gt;0")=0,"",MIN(IF(AND(ISNUMBER(H31),H31&gt;0),H31,9E+99),IF(AND(ISNUMBER(I31),I31&gt;0),I31,9E+99),IF(AND(ISNUMBER(J31),J31&gt;0),J31,9E+99)))</f>
        <v/>
      </c>
      <c r="L31" s="39">
        <f>IFERROR(G31*K31,"")</f>
        <v/>
      </c>
      <c r="M31" s="23" t="inlineStr"/>
    </row>
    <row r="32" ht="27" customHeight="1">
      <c r="B32" s="33" t="inlineStr">
        <is>
          <t>Ice and cold</t>
        </is>
      </c>
      <c r="C32" s="34" t="inlineStr">
        <is>
          <t>Draught beer cooler or keg chiller</t>
        </is>
      </c>
      <c r="D32" s="23" t="inlineStr">
        <is>
          <t>Only with draught. Check the line length the cooler can hold temperature over.</t>
        </is>
      </c>
      <c r="E32" s="35" t="inlineStr">
        <is>
          <t>Day one</t>
        </is>
      </c>
      <c r="F32" s="36">
        <f>IF('Bar Profile'!$C$13="Yes",1,0)</f>
        <v/>
      </c>
      <c r="G32" s="22">
        <f>F32</f>
        <v/>
      </c>
      <c r="H32" s="37" t="n"/>
      <c r="I32" s="37" t="n"/>
      <c r="J32" s="37" t="n"/>
      <c r="K32" s="38">
        <f>IF(COUNTIF(H32:J32,"&gt;0")=0,"",MIN(IF(AND(ISNUMBER(H32),H32&gt;0),H32,9E+99),IF(AND(ISNUMBER(I32),I32&gt;0),I32,9E+99),IF(AND(ISNUMBER(J32),J32&gt;0),J32,9E+99)))</f>
        <v/>
      </c>
      <c r="L32" s="39">
        <f>IFERROR(G32*K32,"")</f>
        <v/>
      </c>
      <c r="M32" s="23" t="inlineStr"/>
    </row>
    <row r="33" ht="53" customHeight="1">
      <c r="B33" s="33" t="inlineStr">
        <is>
          <t>Ice and cold</t>
        </is>
      </c>
      <c r="C33" s="34" t="inlineStr">
        <is>
          <t>Thermometer for the cooler and chiller</t>
        </is>
      </c>
      <c r="D33" s="23" t="inlineStr">
        <is>
          <t>Part V sets the temperatures: a fridge at 5 degrees C, frozen storage at minus 18 degrees C or below. A thermometer is how you show you are meeting them.</t>
        </is>
      </c>
      <c r="E33" s="35" t="inlineStr">
        <is>
          <t>Day one</t>
        </is>
      </c>
      <c r="F33" s="36">
        <f>2</f>
        <v/>
      </c>
      <c r="G33" s="22">
        <f>F33</f>
        <v/>
      </c>
      <c r="H33" s="37" t="n"/>
      <c r="I33" s="37" t="n"/>
      <c r="J33" s="37" t="n"/>
      <c r="K33" s="38">
        <f>IF(COUNTIF(H33:J33,"&gt;0")=0,"",MIN(IF(AND(ISNUMBER(H33),H33&gt;0),H33,9E+99),IF(AND(ISNUMBER(I33),I33&gt;0),I33,9E+99),IF(AND(ISNUMBER(J33),J33&gt;0),J33,9E+99)))</f>
        <v/>
      </c>
      <c r="L33" s="39">
        <f>IFERROR(G33*K33,"")</f>
        <v/>
      </c>
      <c r="M33" s="40" t="inlineStr">
        <is>
          <t>Keep the readings with your cleaning schedule.</t>
        </is>
      </c>
    </row>
    <row r="34" ht="53" customHeight="1">
      <c r="B34" s="33" t="inlineStr">
        <is>
          <t>Prep</t>
        </is>
      </c>
      <c r="C34" s="34" t="inlineStr">
        <is>
          <t>Chopping board for the bar</t>
        </is>
      </c>
      <c r="D34" s="23" t="inlineStr">
        <is>
          <t>Colour-coded and kept at the bar. Part V wants separate boards for raw and ready-to-eat food, and a board borrowed from the kitchen breaks that.</t>
        </is>
      </c>
      <c r="E34" s="35" t="inlineStr">
        <is>
          <t>Day one</t>
        </is>
      </c>
      <c r="F34" s="36">
        <f>1*'Bar Profile'!$C$7</f>
        <v/>
      </c>
      <c r="G34" s="22">
        <f>F34</f>
        <v/>
      </c>
      <c r="H34" s="37" t="n"/>
      <c r="I34" s="37" t="n"/>
      <c r="J34" s="37" t="n"/>
      <c r="K34" s="38">
        <f>IF(COUNTIF(H34:J34,"&gt;0")=0,"",MIN(IF(AND(ISNUMBER(H34),H34&gt;0),H34,9E+99),IF(AND(ISNUMBER(I34),I34&gt;0),I34,9E+99),IF(AND(ISNUMBER(J34),J34&gt;0),J34,9E+99)))</f>
        <v/>
      </c>
      <c r="L34" s="39">
        <f>IFERROR(G34*K34,"")</f>
        <v/>
      </c>
      <c r="M34" s="23" t="inlineStr"/>
    </row>
    <row r="35" ht="27" customHeight="1">
      <c r="B35" s="33" t="inlineStr">
        <is>
          <t>Prep</t>
        </is>
      </c>
      <c r="C35" s="34" t="inlineStr">
        <is>
          <t>Hand reamer or manual citrus press</t>
        </is>
      </c>
      <c r="D35" s="23" t="inlineStr">
        <is>
          <t>Enough at low volume, and it costs almost nothing.</t>
        </is>
      </c>
      <c r="E35" s="35" t="inlineStr">
        <is>
          <t>Day one</t>
        </is>
      </c>
      <c r="F35" s="36">
        <f>IF('Bar Profile'!$C$12="Yes",1,0)</f>
        <v/>
      </c>
      <c r="G35" s="22">
        <f>F35</f>
        <v/>
      </c>
      <c r="H35" s="37" t="n"/>
      <c r="I35" s="37" t="n"/>
      <c r="J35" s="37" t="n"/>
      <c r="K35" s="38">
        <f>IF(COUNTIF(H35:J35,"&gt;0")=0,"",MIN(IF(AND(ISNUMBER(H35),H35&gt;0),H35,9E+99),IF(AND(ISNUMBER(I35),I35&gt;0),I35,9E+99),IF(AND(ISNUMBER(J35),J35&gt;0),J35,9E+99)))</f>
        <v/>
      </c>
      <c r="L35" s="39">
        <f>IFERROR(G35*K35,"")</f>
        <v/>
      </c>
      <c r="M35" s="23" t="inlineStr"/>
    </row>
    <row r="36" ht="27" customHeight="1">
      <c r="B36" s="33" t="inlineStr">
        <is>
          <t>Prep</t>
        </is>
      </c>
      <c r="C36" s="34" t="inlineStr">
        <is>
          <t>Powered citrus juicer</t>
        </is>
      </c>
      <c r="D36" s="23" t="inlineStr">
        <is>
          <t>Only when the reamer becomes the bottleneck.</t>
        </is>
      </c>
      <c r="E36" s="41" t="inlineStr">
        <is>
          <t>Later</t>
        </is>
      </c>
      <c r="F36" s="36">
        <f>IF('Bar Profile'!$C$12="Yes",1,0)</f>
        <v/>
      </c>
      <c r="G36" s="22">
        <f>F36</f>
        <v/>
      </c>
      <c r="H36" s="37" t="n"/>
      <c r="I36" s="37" t="n"/>
      <c r="J36" s="37" t="n"/>
      <c r="K36" s="38">
        <f>IF(COUNTIF(H36:J36,"&gt;0")=0,"",MIN(IF(AND(ISNUMBER(H36),H36&gt;0),H36,9E+99),IF(AND(ISNUMBER(I36),I36&gt;0),I36,9E+99),IF(AND(ISNUMBER(J36),J36&gt;0),J36,9E+99)))</f>
        <v/>
      </c>
      <c r="L36" s="39">
        <f>IFERROR(G36*K36,"")</f>
        <v/>
      </c>
      <c r="M36" s="23" t="inlineStr"/>
    </row>
    <row r="37" ht="27" customHeight="1">
      <c r="B37" s="33" t="inlineStr">
        <is>
          <t>Prep</t>
        </is>
      </c>
      <c r="C37" s="34" t="inlineStr">
        <is>
          <t>Blender</t>
        </is>
      </c>
      <c r="D37" s="23" t="inlineStr">
        <is>
          <t>Only if the menu is blended. Buy it when the menu changes, not before.</t>
        </is>
      </c>
      <c r="E37" s="41" t="inlineStr">
        <is>
          <t>Later</t>
        </is>
      </c>
      <c r="F37" s="36">
        <f>IF('Bar Profile'!$C$11="Yes",1,0)</f>
        <v/>
      </c>
      <c r="G37" s="22">
        <f>F37</f>
        <v/>
      </c>
      <c r="H37" s="37" t="n"/>
      <c r="I37" s="37" t="n"/>
      <c r="J37" s="37" t="n"/>
      <c r="K37" s="38">
        <f>IF(COUNTIF(H37:J37,"&gt;0")=0,"",MIN(IF(AND(ISNUMBER(H37),H37&gt;0),H37,9E+99),IF(AND(ISNUMBER(I37),I37&gt;0),I37,9E+99),IF(AND(ISNUMBER(J37),J37&gt;0),J37,9E+99)))</f>
        <v/>
      </c>
      <c r="L37" s="39">
        <f>IFERROR(G37*K37,"")</f>
        <v/>
      </c>
      <c r="M37" s="23" t="inlineStr"/>
    </row>
    <row r="38" ht="27" customHeight="1">
      <c r="B38" s="33" t="inlineStr">
        <is>
          <t>Prep</t>
        </is>
      </c>
      <c r="C38" s="34" t="inlineStr">
        <is>
          <t>Garnish caddy or condiment holder</t>
        </is>
      </c>
      <c r="D38" s="23" t="inlineStr">
        <is>
          <t>Covered. Part V wants prepared fruit kept in covered containers.</t>
        </is>
      </c>
      <c r="E38" s="35" t="inlineStr">
        <is>
          <t>Day one</t>
        </is>
      </c>
      <c r="F38" s="36">
        <f>1*'Bar Profile'!$C$7</f>
        <v/>
      </c>
      <c r="G38" s="22">
        <f>F38</f>
        <v/>
      </c>
      <c r="H38" s="37" t="n"/>
      <c r="I38" s="37" t="n"/>
      <c r="J38" s="37" t="n"/>
      <c r="K38" s="38">
        <f>IF(COUNTIF(H38:J38,"&gt;0")=0,"",MIN(IF(AND(ISNUMBER(H38),H38&gt;0),H38,9E+99),IF(AND(ISNUMBER(I38),I38&gt;0),I38,9E+99),IF(AND(ISNUMBER(J38),J38&gt;0),J38,9E+99)))</f>
        <v/>
      </c>
      <c r="L38" s="39">
        <f>IFERROR(G38*K38,"")</f>
        <v/>
      </c>
      <c r="M38" s="23" t="inlineStr"/>
    </row>
    <row r="39" ht="27" customHeight="1">
      <c r="B39" s="33" t="inlineStr">
        <is>
          <t>Prep</t>
        </is>
      </c>
      <c r="C39" s="34" t="inlineStr">
        <is>
          <t>Squeeze bottles for syrups</t>
        </is>
      </c>
      <c r="D39" s="23" t="inlineStr">
        <is>
          <t>Labelled with contents and the date they were filled.</t>
        </is>
      </c>
      <c r="E39" s="35" t="inlineStr">
        <is>
          <t>Day one</t>
        </is>
      </c>
      <c r="F39" s="36">
        <f>6*'Bar Profile'!$C$7</f>
        <v/>
      </c>
      <c r="G39" s="22">
        <f>F39</f>
        <v/>
      </c>
      <c r="H39" s="37" t="n"/>
      <c r="I39" s="37" t="n"/>
      <c r="J39" s="37" t="n"/>
      <c r="K39" s="38">
        <f>IF(COUNTIF(H39:J39,"&gt;0")=0,"",MIN(IF(AND(ISNUMBER(H39),H39&gt;0),H39,9E+99),IF(AND(ISNUMBER(I39),I39&gt;0),I39,9E+99),IF(AND(ISNUMBER(J39),J39&gt;0),J39,9E+99)))</f>
        <v/>
      </c>
      <c r="L39" s="39">
        <f>IFERROR(G39*K39,"")</f>
        <v/>
      </c>
      <c r="M39" s="23" t="inlineStr"/>
    </row>
    <row r="40" ht="27" customHeight="1">
      <c r="B40" s="33" t="inlineStr">
        <is>
          <t>Prep</t>
        </is>
      </c>
      <c r="C40" s="34" t="inlineStr">
        <is>
          <t>Syrup and juice storage containers</t>
        </is>
      </c>
      <c r="D40" s="23" t="inlineStr">
        <is>
          <t>Food-grade, lidded, datable.</t>
        </is>
      </c>
      <c r="E40" s="35" t="inlineStr">
        <is>
          <t>Day one</t>
        </is>
      </c>
      <c r="F40" s="36">
        <f>6*'Bar Profile'!$C$7</f>
        <v/>
      </c>
      <c r="G40" s="22">
        <f>F40</f>
        <v/>
      </c>
      <c r="H40" s="37" t="n"/>
      <c r="I40" s="37" t="n"/>
      <c r="J40" s="37" t="n"/>
      <c r="K40" s="38">
        <f>IF(COUNTIF(H40:J40,"&gt;0")=0,"",MIN(IF(AND(ISNUMBER(H40),H40&gt;0),H40,9E+99),IF(AND(ISNUMBER(I40),I40&gt;0),I40,9E+99),IF(AND(ISNUMBER(J40),J40&gt;0),J40,9E+99)))</f>
        <v/>
      </c>
      <c r="L40" s="39">
        <f>IFERROR(G40*K40,"")</f>
        <v/>
      </c>
      <c r="M40" s="23" t="inlineStr"/>
    </row>
    <row r="41" ht="27" customHeight="1">
      <c r="B41" s="33" t="inlineStr">
        <is>
          <t>Prep</t>
        </is>
      </c>
      <c r="C41" s="34" t="inlineStr">
        <is>
          <t>Muddling and prep bowls</t>
        </is>
      </c>
      <c r="D41" s="23" t="inlineStr">
        <is>
          <t>Small stainless bowls for cut fruit during service.</t>
        </is>
      </c>
      <c r="E41" s="35" t="inlineStr">
        <is>
          <t>Day one</t>
        </is>
      </c>
      <c r="F41" s="36">
        <f>4*'Bar Profile'!$C$7</f>
        <v/>
      </c>
      <c r="G41" s="22">
        <f>F41</f>
        <v/>
      </c>
      <c r="H41" s="37" t="n"/>
      <c r="I41" s="37" t="n"/>
      <c r="J41" s="37" t="n"/>
      <c r="K41" s="38">
        <f>IF(COUNTIF(H41:J41,"&gt;0")=0,"",MIN(IF(AND(ISNUMBER(H41),H41&gt;0),H41,9E+99),IF(AND(ISNUMBER(I41),I41&gt;0),I41,9E+99),IF(AND(ISNUMBER(J41),J41&gt;0),J41,9E+99)))</f>
        <v/>
      </c>
      <c r="L41" s="39">
        <f>IFERROR(G41*K41,"")</f>
        <v/>
      </c>
      <c r="M41" s="23" t="inlineStr"/>
    </row>
    <row r="42" ht="27" customHeight="1">
      <c r="B42" s="33" t="inlineStr">
        <is>
          <t>Surfaces and storage</t>
        </is>
      </c>
      <c r="C42" s="34" t="inlineStr">
        <is>
          <t>Bar mat (front bar)</t>
        </is>
      </c>
      <c r="D42" s="23" t="inlineStr">
        <is>
          <t>Catches the spill that would otherwise reach the guest's sleeve.</t>
        </is>
      </c>
      <c r="E42" s="35" t="inlineStr">
        <is>
          <t>Day one</t>
        </is>
      </c>
      <c r="F42" s="36">
        <f>2*'Bar Profile'!$C$7</f>
        <v/>
      </c>
      <c r="G42" s="22">
        <f>F42</f>
        <v/>
      </c>
      <c r="H42" s="37" t="n"/>
      <c r="I42" s="37" t="n"/>
      <c r="J42" s="37" t="n"/>
      <c r="K42" s="38">
        <f>IF(COUNTIF(H42:J42,"&gt;0")=0,"",MIN(IF(AND(ISNUMBER(H42),H42&gt;0),H42,9E+99),IF(AND(ISNUMBER(I42),I42&gt;0),I42,9E+99),IF(AND(ISNUMBER(J42),J42&gt;0),J42,9E+99)))</f>
        <v/>
      </c>
      <c r="L42" s="39">
        <f>IFERROR(G42*K42,"")</f>
        <v/>
      </c>
      <c r="M42" s="23" t="inlineStr"/>
    </row>
    <row r="43" ht="27" customHeight="1">
      <c r="B43" s="33" t="inlineStr">
        <is>
          <t>Surfaces and storage</t>
        </is>
      </c>
      <c r="C43" s="34" t="inlineStr">
        <is>
          <t>Service mat (under bar)</t>
        </is>
      </c>
      <c r="D43" s="23" t="inlineStr">
        <is>
          <t>Where drinks are built and set down.</t>
        </is>
      </c>
      <c r="E43" s="35" t="inlineStr">
        <is>
          <t>Day one</t>
        </is>
      </c>
      <c r="F43" s="36">
        <f>2*'Bar Profile'!$C$7</f>
        <v/>
      </c>
      <c r="G43" s="22">
        <f>F43</f>
        <v/>
      </c>
      <c r="H43" s="37" t="n"/>
      <c r="I43" s="37" t="n"/>
      <c r="J43" s="37" t="n"/>
      <c r="K43" s="38">
        <f>IF(COUNTIF(H43:J43,"&gt;0")=0,"",MIN(IF(AND(ISNUMBER(H43),H43&gt;0),H43,9E+99),IF(AND(ISNUMBER(I43),I43&gt;0),I43,9E+99),IF(AND(ISNUMBER(J43),J43&gt;0),J43,9E+99)))</f>
        <v/>
      </c>
      <c r="L43" s="39">
        <f>IFERROR(G43*K43,"")</f>
        <v/>
      </c>
      <c r="M43" s="23" t="inlineStr"/>
    </row>
    <row r="44" ht="40" customHeight="1">
      <c r="B44" s="33" t="inlineStr">
        <is>
          <t>Surfaces and storage</t>
        </is>
      </c>
      <c r="C44" s="34" t="inlineStr">
        <is>
          <t>Speed rail</t>
        </is>
      </c>
      <c r="D44" s="23" t="inlineStr">
        <is>
          <t>Holds your eight fastest pours in a fixed sequence, so a bartender builds a drink without looking down.</t>
        </is>
      </c>
      <c r="E44" s="35" t="inlineStr">
        <is>
          <t>Day one</t>
        </is>
      </c>
      <c r="F44" s="36">
        <f>1*'Bar Profile'!$C$7</f>
        <v/>
      </c>
      <c r="G44" s="22">
        <f>F44</f>
        <v/>
      </c>
      <c r="H44" s="37" t="n"/>
      <c r="I44" s="37" t="n"/>
      <c r="J44" s="37" t="n"/>
      <c r="K44" s="38">
        <f>IF(COUNTIF(H44:J44,"&gt;0")=0,"",MIN(IF(AND(ISNUMBER(H44),H44&gt;0),H44,9E+99),IF(AND(ISNUMBER(I44),I44&gt;0),I44,9E+99),IF(AND(ISNUMBER(J44),J44&gt;0),J44,9E+99)))</f>
        <v/>
      </c>
      <c r="L44" s="39">
        <f>IFERROR(G44*K44,"")</f>
        <v/>
      </c>
      <c r="M44" s="23" t="inlineStr"/>
    </row>
    <row r="45" ht="27" customHeight="1">
      <c r="B45" s="33" t="inlineStr">
        <is>
          <t>Surfaces and storage</t>
        </is>
      </c>
      <c r="C45" s="34" t="inlineStr">
        <is>
          <t>Dump sink</t>
        </is>
      </c>
      <c r="D45" s="23" t="inlineStr">
        <is>
          <t>For melt and dregs. Separate from the wash sinks.</t>
        </is>
      </c>
      <c r="E45" s="35" t="inlineStr">
        <is>
          <t>Day one</t>
        </is>
      </c>
      <c r="F45" s="36">
        <f>1*'Bar Profile'!$C$7</f>
        <v/>
      </c>
      <c r="G45" s="22">
        <f>F45</f>
        <v/>
      </c>
      <c r="H45" s="37" t="n"/>
      <c r="I45" s="37" t="n"/>
      <c r="J45" s="37" t="n"/>
      <c r="K45" s="38">
        <f>IF(COUNTIF(H45:J45,"&gt;0")=0,"",MIN(IF(AND(ISNUMBER(H45),H45&gt;0),H45,9E+99),IF(AND(ISNUMBER(I45),I45&gt;0),I45,9E+99),IF(AND(ISNUMBER(J45),J45&gt;0),J45,9E+99)))</f>
        <v/>
      </c>
      <c r="L45" s="39">
        <f>IFERROR(G45*K45,"")</f>
        <v/>
      </c>
      <c r="M45" s="23" t="inlineStr"/>
    </row>
    <row r="46" ht="27" customHeight="1">
      <c r="B46" s="33" t="inlineStr">
        <is>
          <t>Surfaces and storage</t>
        </is>
      </c>
      <c r="C46" s="34" t="inlineStr">
        <is>
          <t>Back bar shelving or display unit</t>
        </is>
      </c>
      <c r="D46" s="23" t="inlineStr">
        <is>
          <t>Load-rated for full bottles. Glass shelves fail quietly.</t>
        </is>
      </c>
      <c r="E46" s="35" t="inlineStr">
        <is>
          <t>Day one</t>
        </is>
      </c>
      <c r="F46" s="36">
        <f>1</f>
        <v/>
      </c>
      <c r="G46" s="22">
        <f>F46</f>
        <v/>
      </c>
      <c r="H46" s="37" t="n"/>
      <c r="I46" s="37" t="n"/>
      <c r="J46" s="37" t="n"/>
      <c r="K46" s="38">
        <f>IF(COUNTIF(H46:J46,"&gt;0")=0,"",MIN(IF(AND(ISNUMBER(H46),H46&gt;0),H46,9E+99),IF(AND(ISNUMBER(I46),I46&gt;0),I46,9E+99),IF(AND(ISNUMBER(J46),J46&gt;0),J46,9E+99)))</f>
        <v/>
      </c>
      <c r="L46" s="39">
        <f>IFERROR(G46*K46,"")</f>
        <v/>
      </c>
      <c r="M46" s="23" t="inlineStr"/>
    </row>
    <row r="47" ht="27" customHeight="1">
      <c r="B47" s="33" t="inlineStr">
        <is>
          <t>Surfaces and storage</t>
        </is>
      </c>
      <c r="C47" s="34" t="inlineStr">
        <is>
          <t>Bottle storage racking (stock room)</t>
        </is>
      </c>
      <c r="D47" s="23" t="inlineStr">
        <is>
          <t>Off the floor and clear of the wall, so the stock room can actually be cleaned.</t>
        </is>
      </c>
      <c r="E47" s="35" t="inlineStr">
        <is>
          <t>Day one</t>
        </is>
      </c>
      <c r="F47" s="36">
        <f>1</f>
        <v/>
      </c>
      <c r="G47" s="22">
        <f>F47</f>
        <v/>
      </c>
      <c r="H47" s="37" t="n"/>
      <c r="I47" s="37" t="n"/>
      <c r="J47" s="37" t="n"/>
      <c r="K47" s="38">
        <f>IF(COUNTIF(H47:J47,"&gt;0")=0,"",MIN(IF(AND(ISNUMBER(H47),H47&gt;0),H47,9E+99),IF(AND(ISNUMBER(I47),I47&gt;0),I47,9E+99),IF(AND(ISNUMBER(J47),J47&gt;0),J47,9E+99)))</f>
        <v/>
      </c>
      <c r="L47" s="39">
        <f>IFERROR(G47*K47,"")</f>
        <v/>
      </c>
      <c r="M47" s="23" t="inlineStr"/>
    </row>
    <row r="48" ht="27" customHeight="1">
      <c r="B48" s="33" t="inlineStr">
        <is>
          <t>Surfaces and storage</t>
        </is>
      </c>
      <c r="C48" s="34" t="inlineStr">
        <is>
          <t>Back bar lighting</t>
        </is>
      </c>
      <c r="D48" s="23" t="inlineStr">
        <is>
          <t>Sells the bottles. Not a launch blocker.</t>
        </is>
      </c>
      <c r="E48" s="41" t="inlineStr">
        <is>
          <t>Later</t>
        </is>
      </c>
      <c r="F48" s="36">
        <f>1</f>
        <v/>
      </c>
      <c r="G48" s="22">
        <f>F48</f>
        <v/>
      </c>
      <c r="H48" s="37" t="n"/>
      <c r="I48" s="37" t="n"/>
      <c r="J48" s="37" t="n"/>
      <c r="K48" s="38">
        <f>IF(COUNTIF(H48:J48,"&gt;0")=0,"",MIN(IF(AND(ISNUMBER(H48),H48&gt;0),H48,9E+99),IF(AND(ISNUMBER(I48),I48&gt;0),I48,9E+99),IF(AND(ISNUMBER(J48),J48&gt;0),J48,9E+99)))</f>
        <v/>
      </c>
      <c r="L48" s="39">
        <f>IFERROR(G48*K48,"")</f>
        <v/>
      </c>
      <c r="M48" s="23" t="inlineStr"/>
    </row>
    <row r="49" ht="66" customHeight="1">
      <c r="B49" s="33" t="inlineStr">
        <is>
          <t>Surfaces and storage</t>
        </is>
      </c>
      <c r="C49" s="34" t="inlineStr">
        <is>
          <t>Bar stools</t>
        </is>
      </c>
      <c r="D49" s="23" t="inlineStr">
        <is>
          <t>Height matched to the counter, not bought on looks alone. Suggested at 40% of your seat count, on the assumption the rest are table seats. Set Your qty from your own layout.</t>
        </is>
      </c>
      <c r="E49" s="35" t="inlineStr">
        <is>
          <t>Day one</t>
        </is>
      </c>
      <c r="F49" s="36">
        <f>ROUNDUP('Bar Profile'!$C$6*0.4,0)</f>
        <v/>
      </c>
      <c r="G49" s="22">
        <f>F49</f>
        <v/>
      </c>
      <c r="H49" s="37" t="n"/>
      <c r="I49" s="37" t="n"/>
      <c r="J49" s="37" t="n"/>
      <c r="K49" s="38">
        <f>IF(COUNTIF(H49:J49,"&gt;0")=0,"",MIN(IF(AND(ISNUMBER(H49),H49&gt;0),H49,9E+99),IF(AND(ISNUMBER(I49),I49&gt;0),I49,9E+99),IF(AND(ISNUMBER(J49),J49&gt;0),J49,9E+99)))</f>
        <v/>
      </c>
      <c r="L49" s="39">
        <f>IFERROR(G49*K49,"")</f>
        <v/>
      </c>
      <c r="M49" s="23" t="inlineStr"/>
    </row>
    <row r="50" ht="27" customHeight="1">
      <c r="B50" s="33" t="inlineStr">
        <is>
          <t>Surfaces and storage</t>
        </is>
      </c>
      <c r="C50" s="34" t="inlineStr">
        <is>
          <t>Rubber anti-fatigue matting (bartender side)</t>
        </is>
      </c>
      <c r="D50" s="23" t="inlineStr">
        <is>
          <t>Long shifts on tile. Cheap, and staff notice.</t>
        </is>
      </c>
      <c r="E50" s="35" t="inlineStr">
        <is>
          <t>Day one</t>
        </is>
      </c>
      <c r="F50" s="36">
        <f>1*'Bar Profile'!$C$7</f>
        <v/>
      </c>
      <c r="G50" s="22">
        <f>F50</f>
        <v/>
      </c>
      <c r="H50" s="37" t="n"/>
      <c r="I50" s="37" t="n"/>
      <c r="J50" s="37" t="n"/>
      <c r="K50" s="38">
        <f>IF(COUNTIF(H50:J50,"&gt;0")=0,"",MIN(IF(AND(ISNUMBER(H50),H50&gt;0),H50,9E+99),IF(AND(ISNUMBER(I50),I50&gt;0),I50,9E+99),IF(AND(ISNUMBER(J50),J50&gt;0),J50,9E+99)))</f>
        <v/>
      </c>
      <c r="L50" s="39">
        <f>IFERROR(G50*K50,"")</f>
        <v/>
      </c>
      <c r="M50" s="23" t="inlineStr"/>
    </row>
    <row r="51" ht="27" customHeight="1">
      <c r="B51" s="33" t="inlineStr">
        <is>
          <t>Surfaces and storage</t>
        </is>
      </c>
      <c r="C51" s="34" t="inlineStr">
        <is>
          <t>Waste bins with lids (bar and glass waste)</t>
        </is>
      </c>
      <c r="D51" s="23" t="inlineStr">
        <is>
          <t>Separate bin for broken glass, and everyone knows which it is.</t>
        </is>
      </c>
      <c r="E51" s="35" t="inlineStr">
        <is>
          <t>Day one</t>
        </is>
      </c>
      <c r="F51" s="36">
        <f>3</f>
        <v/>
      </c>
      <c r="G51" s="22">
        <f>F51</f>
        <v/>
      </c>
      <c r="H51" s="37" t="n"/>
      <c r="I51" s="37" t="n"/>
      <c r="J51" s="37" t="n"/>
      <c r="K51" s="38">
        <f>IF(COUNTIF(H51:J51,"&gt;0")=0,"",MIN(IF(AND(ISNUMBER(H51),H51&gt;0),H51,9E+99),IF(AND(ISNUMBER(I51),I51&gt;0),I51,9E+99),IF(AND(ISNUMBER(J51),J51&gt;0),J51,9E+99)))</f>
        <v/>
      </c>
      <c r="L51" s="39">
        <f>IFERROR(G51*K51,"")</f>
        <v/>
      </c>
      <c r="M51" s="23" t="inlineStr"/>
    </row>
    <row r="52" ht="40" customHeight="1">
      <c r="B52" s="33" t="inlineStr">
        <is>
          <t>Cleaning and hygiene</t>
        </is>
      </c>
      <c r="C52" s="34" t="inlineStr">
        <is>
          <t>Under-counter glass washer</t>
        </is>
      </c>
      <c r="D52" s="23" t="inlineStr">
        <is>
          <t>A cycle in a few minutes, glasses clear and dry. A cloudy glass reads as dirty.</t>
        </is>
      </c>
      <c r="E52" s="35" t="inlineStr">
        <is>
          <t>Day one</t>
        </is>
      </c>
      <c r="F52" s="36">
        <f>1</f>
        <v/>
      </c>
      <c r="G52" s="22">
        <f>F52</f>
        <v/>
      </c>
      <c r="H52" s="37" t="n"/>
      <c r="I52" s="37" t="n"/>
      <c r="J52" s="37" t="n"/>
      <c r="K52" s="38">
        <f>IF(COUNTIF(H52:J52,"&gt;0")=0,"",MIN(IF(AND(ISNUMBER(H52),H52&gt;0),H52,9E+99),IF(AND(ISNUMBER(I52),I52&gt;0),I52,9E+99),IF(AND(ISNUMBER(J52),J52&gt;0),J52,9E+99)))</f>
        <v/>
      </c>
      <c r="L52" s="39">
        <f>IFERROR(G52*K52,"")</f>
        <v/>
      </c>
      <c r="M52" s="40" t="inlineStr">
        <is>
          <t>Or the multi-sink setup below. You need one or the other.</t>
        </is>
      </c>
    </row>
    <row r="53" ht="106" customHeight="1">
      <c r="B53" s="33" t="inlineStr">
        <is>
          <t>Cleaning and hygiene</t>
        </is>
      </c>
      <c r="C53" s="34" t="inlineStr">
        <is>
          <t>Three-sink wash setup with draining board</t>
        </is>
      </c>
      <c r="D53" s="23" t="inlineStr">
        <is>
          <t>Wash, rinse, sanitise. Part V requires sinks with a draining board, detergent and hot water for utensils, crockery and cutlery, and a separate place for washing pots and pans. Separate sinks for washing raw food and cleaning equipment are required where necessary. One sink behind the bar does not meet it.</t>
        </is>
      </c>
      <c r="E53" s="35" t="inlineStr">
        <is>
          <t>Day one</t>
        </is>
      </c>
      <c r="F53" s="36">
        <f>1</f>
        <v/>
      </c>
      <c r="G53" s="22">
        <f>F53</f>
        <v/>
      </c>
      <c r="H53" s="37" t="n"/>
      <c r="I53" s="37" t="n"/>
      <c r="J53" s="37" t="n"/>
      <c r="K53" s="38">
        <f>IF(COUNTIF(H53:J53,"&gt;0")=0,"",MIN(IF(AND(ISNUMBER(H53),H53&gt;0),H53,9E+99),IF(AND(ISNUMBER(I53),I53&gt;0),I53,9E+99),IF(AND(ISNUMBER(J53),J53&gt;0),J53,9E+99)))</f>
        <v/>
      </c>
      <c r="L53" s="39">
        <f>IFERROR(G53*K53,"")</f>
        <v/>
      </c>
      <c r="M53" s="40" t="inlineStr">
        <is>
          <t>Schedule 4 Part V. A single bar sink does not meet this.</t>
        </is>
      </c>
    </row>
    <row r="54" ht="27" customHeight="1">
      <c r="B54" s="33" t="inlineStr">
        <is>
          <t>Cleaning and hygiene</t>
        </is>
      </c>
      <c r="C54" s="34" t="inlineStr">
        <is>
          <t>Hand wash basin at the bar</t>
        </is>
      </c>
      <c r="D54" s="23" t="inlineStr">
        <is>
          <t>Separate from the wash and dump sinks.</t>
        </is>
      </c>
      <c r="E54" s="35" t="inlineStr">
        <is>
          <t>Day one</t>
        </is>
      </c>
      <c r="F54" s="36">
        <f>1</f>
        <v/>
      </c>
      <c r="G54" s="22">
        <f>F54</f>
        <v/>
      </c>
      <c r="H54" s="37" t="n"/>
      <c r="I54" s="37" t="n"/>
      <c r="J54" s="37" t="n"/>
      <c r="K54" s="38">
        <f>IF(COUNTIF(H54:J54,"&gt;0")=0,"",MIN(IF(AND(ISNUMBER(H54),H54&gt;0),H54,9E+99),IF(AND(ISNUMBER(I54),I54&gt;0),I54,9E+99),IF(AND(ISNUMBER(J54),J54&gt;0),J54,9E+99)))</f>
        <v/>
      </c>
      <c r="L54" s="39">
        <f>IFERROR(G54*K54,"")</f>
        <v/>
      </c>
      <c r="M54" s="40" t="inlineStr">
        <is>
          <t>Inspected. Keep soap and a drying method at it.</t>
        </is>
      </c>
    </row>
    <row r="55" ht="27" customHeight="1">
      <c r="B55" s="33" t="inlineStr">
        <is>
          <t>Cleaning and hygiene</t>
        </is>
      </c>
      <c r="C55" s="34" t="inlineStr">
        <is>
          <t>Glass drying rack</t>
        </is>
      </c>
      <c r="D55" s="23" t="inlineStr">
        <is>
          <t>Air dry. A cloth finish puts lint back on the rim.</t>
        </is>
      </c>
      <c r="E55" s="35" t="inlineStr">
        <is>
          <t>Day one</t>
        </is>
      </c>
      <c r="F55" s="36">
        <f>2</f>
        <v/>
      </c>
      <c r="G55" s="22">
        <f>F55</f>
        <v/>
      </c>
      <c r="H55" s="37" t="n"/>
      <c r="I55" s="37" t="n"/>
      <c r="J55" s="37" t="n"/>
      <c r="K55" s="38">
        <f>IF(COUNTIF(H55:J55,"&gt;0")=0,"",MIN(IF(AND(ISNUMBER(H55),H55&gt;0),H55,9E+99),IF(AND(ISNUMBER(I55),I55&gt;0),I55,9E+99),IF(AND(ISNUMBER(J55),J55&gt;0),J55,9E+99)))</f>
        <v/>
      </c>
      <c r="L55" s="39">
        <f>IFERROR(G55*K55,"")</f>
        <v/>
      </c>
      <c r="M55" s="23" t="inlineStr"/>
    </row>
    <row r="56" ht="27" customHeight="1">
      <c r="B56" s="33" t="inlineStr">
        <is>
          <t>Cleaning and hygiene</t>
        </is>
      </c>
      <c r="C56" s="34" t="inlineStr">
        <is>
          <t>Bar brushes (glass interior)</t>
        </is>
      </c>
      <c r="D56" s="23" t="inlineStr">
        <is>
          <t>Kept for glasses only.</t>
        </is>
      </c>
      <c r="E56" s="35" t="inlineStr">
        <is>
          <t>Day one</t>
        </is>
      </c>
      <c r="F56" s="36">
        <f>3*'Bar Profile'!$C$7</f>
        <v/>
      </c>
      <c r="G56" s="22">
        <f>F56</f>
        <v/>
      </c>
      <c r="H56" s="37" t="n"/>
      <c r="I56" s="37" t="n"/>
      <c r="J56" s="37" t="n"/>
      <c r="K56" s="38">
        <f>IF(COUNTIF(H56:J56,"&gt;0")=0,"",MIN(IF(AND(ISNUMBER(H56),H56&gt;0),H56,9E+99),IF(AND(ISNUMBER(I56),I56&gt;0),I56,9E+99),IF(AND(ISNUMBER(J56),J56&gt;0),J56,9E+99)))</f>
        <v/>
      </c>
      <c r="L56" s="39">
        <f>IFERROR(G56*K56,"")</f>
        <v/>
      </c>
      <c r="M56" s="23" t="inlineStr"/>
    </row>
    <row r="57" ht="27" customHeight="1">
      <c r="B57" s="33" t="inlineStr">
        <is>
          <t>Cleaning and hygiene</t>
        </is>
      </c>
      <c r="C57" s="34" t="inlineStr">
        <is>
          <t>Bar cloths, counter and glassware separately</t>
        </is>
      </c>
      <c r="D57" s="23" t="inlineStr">
        <is>
          <t>Two colours, and the staff know which is which.</t>
        </is>
      </c>
      <c r="E57" s="35" t="inlineStr">
        <is>
          <t>Day one</t>
        </is>
      </c>
      <c r="F57" s="36">
        <f>12*'Bar Profile'!$C$7</f>
        <v/>
      </c>
      <c r="G57" s="22">
        <f>F57</f>
        <v/>
      </c>
      <c r="H57" s="37" t="n"/>
      <c r="I57" s="37" t="n"/>
      <c r="J57" s="37" t="n"/>
      <c r="K57" s="38">
        <f>IF(COUNTIF(H57:J57,"&gt;0")=0,"",MIN(IF(AND(ISNUMBER(H57),H57&gt;0),H57,9E+99),IF(AND(ISNUMBER(I57),I57&gt;0),I57,9E+99),IF(AND(ISNUMBER(J57),J57&gt;0),J57,9E+99)))</f>
        <v/>
      </c>
      <c r="L57" s="39">
        <f>IFERROR(G57*K57,"")</f>
        <v/>
      </c>
      <c r="M57" s="23" t="inlineStr"/>
    </row>
    <row r="58" ht="53" customHeight="1">
      <c r="B58" s="33" t="inlineStr">
        <is>
          <t>Cleaning and hygiene</t>
        </is>
      </c>
      <c r="C58" s="34" t="inlineStr">
        <is>
          <t>Food-contact sanitiser</t>
        </is>
      </c>
      <c r="D58" s="23" t="inlineStr">
        <is>
          <t>Rated for food contact surfaces. Keep the label and the dilution chart.</t>
        </is>
      </c>
      <c r="E58" s="35" t="inlineStr">
        <is>
          <t>Day one</t>
        </is>
      </c>
      <c r="F58" s="36">
        <f>1</f>
        <v/>
      </c>
      <c r="G58" s="22">
        <f>F58</f>
        <v/>
      </c>
      <c r="H58" s="37" t="n"/>
      <c r="I58" s="37" t="n"/>
      <c r="J58" s="37" t="n"/>
      <c r="K58" s="38">
        <f>IF(COUNTIF(H58:J58,"&gt;0")=0,"",MIN(IF(AND(ISNUMBER(H58),H58&gt;0),H58,9E+99),IF(AND(ISNUMBER(I58),I58&gt;0),I58,9E+99),IF(AND(ISNUMBER(J58),J58&gt;0),J58,9E+99)))</f>
        <v/>
      </c>
      <c r="L58" s="39">
        <f>IFERROR(G58*K58,"")</f>
        <v/>
      </c>
      <c r="M58" s="40" t="inlineStr">
        <is>
          <t>Part V asks for a systematic cleaning schedule and instructions. Keep them.</t>
        </is>
      </c>
    </row>
    <row r="59" ht="27" customHeight="1">
      <c r="B59" s="33" t="inlineStr">
        <is>
          <t>Cleaning and hygiene</t>
        </is>
      </c>
      <c r="C59" s="34" t="inlineStr">
        <is>
          <t>Detergent and glass wash chemicals</t>
        </is>
      </c>
      <c r="D59" s="23" t="inlineStr">
        <is>
          <t>Matched to your washer, or it leaves film.</t>
        </is>
      </c>
      <c r="E59" s="35" t="inlineStr">
        <is>
          <t>Day one</t>
        </is>
      </c>
      <c r="F59" s="36">
        <f>1</f>
        <v/>
      </c>
      <c r="G59" s="22">
        <f>F59</f>
        <v/>
      </c>
      <c r="H59" s="37" t="n"/>
      <c r="I59" s="37" t="n"/>
      <c r="J59" s="37" t="n"/>
      <c r="K59" s="38">
        <f>IF(COUNTIF(H59:J59,"&gt;0")=0,"",MIN(IF(AND(ISNUMBER(H59),H59&gt;0),H59,9E+99),IF(AND(ISNUMBER(I59),I59&gt;0),I59,9E+99),IF(AND(ISNUMBER(J59),J59&gt;0),J59,9E+99)))</f>
        <v/>
      </c>
      <c r="L59" s="39">
        <f>IFERROR(G59*K59,"")</f>
        <v/>
      </c>
      <c r="M59" s="23" t="inlineStr"/>
    </row>
    <row r="60" ht="27" customHeight="1">
      <c r="B60" s="33" t="inlineStr">
        <is>
          <t>Cleaning and hygiene</t>
        </is>
      </c>
      <c r="C60" s="34" t="inlineStr">
        <is>
          <t>First aid kit and burn kit</t>
        </is>
      </c>
      <c r="D60" s="23" t="inlineStr">
        <is>
          <t>Broken glass and hot water are the usual bar injuries.</t>
        </is>
      </c>
      <c r="E60" s="35" t="inlineStr">
        <is>
          <t>Day one</t>
        </is>
      </c>
      <c r="F60" s="36">
        <f>1</f>
        <v/>
      </c>
      <c r="G60" s="22">
        <f>F60</f>
        <v/>
      </c>
      <c r="H60" s="37" t="n"/>
      <c r="I60" s="37" t="n"/>
      <c r="J60" s="37" t="n"/>
      <c r="K60" s="38">
        <f>IF(COUNTIF(H60:J60,"&gt;0")=0,"",MIN(IF(AND(ISNUMBER(H60),H60&gt;0),H60,9E+99),IF(AND(ISNUMBER(I60),I60&gt;0),I60,9E+99),IF(AND(ISNUMBER(J60),J60&gt;0),J60,9E+99)))</f>
        <v/>
      </c>
      <c r="L60" s="39">
        <f>IFERROR(G60*K60,"")</f>
        <v/>
      </c>
      <c r="M60" s="23" t="inlineStr"/>
    </row>
    <row r="61" ht="53" customHeight="1">
      <c r="B61" s="33" t="inlineStr">
        <is>
          <t>Cleaning and hygiene</t>
        </is>
      </c>
      <c r="C61" s="34" t="inlineStr">
        <is>
          <t>Pest control service (first year)</t>
        </is>
      </c>
      <c r="D61" s="23" t="inlineStr">
        <is>
          <t>Contracted, with records kept. Part V's own storage rule is about keeping dried stock sealed and off the floor, to protect it from pests.</t>
        </is>
      </c>
      <c r="E61" s="35" t="inlineStr">
        <is>
          <t>Day one</t>
        </is>
      </c>
      <c r="F61" s="36">
        <f>1</f>
        <v/>
      </c>
      <c r="G61" s="22">
        <f>F61</f>
        <v/>
      </c>
      <c r="H61" s="37" t="n"/>
      <c r="I61" s="37" t="n"/>
      <c r="J61" s="37" t="n"/>
      <c r="K61" s="38">
        <f>IF(COUNTIF(H61:J61,"&gt;0")=0,"",MIN(IF(AND(ISNUMBER(H61),H61&gt;0),H61,9E+99),IF(AND(ISNUMBER(I61),I61&gt;0),I61,9E+99),IF(AND(ISNUMBER(J61),J61&gt;0),J61,9E+99)))</f>
        <v/>
      </c>
      <c r="L61" s="39">
        <f>IFERROR(G61*K61,"")</f>
        <v/>
      </c>
      <c r="M61" s="40" t="inlineStr">
        <is>
          <t>Keep the service records, they get asked for.</t>
        </is>
      </c>
    </row>
    <row r="62" ht="40" customHeight="1">
      <c r="B62" s="33" t="inlineStr">
        <is>
          <t>Billing and back office</t>
        </is>
      </c>
      <c r="C62" s="34" t="inlineStr">
        <is>
          <t>POS terminal</t>
        </is>
      </c>
      <c r="D62" s="23" t="inlineStr">
        <is>
          <t>Must record the pour against a recipe, not just the price. That is what makes the stock variance visible.</t>
        </is>
      </c>
      <c r="E62" s="35" t="inlineStr">
        <is>
          <t>Day one</t>
        </is>
      </c>
      <c r="F62" s="36">
        <f>1*'Bar Profile'!$C$7</f>
        <v/>
      </c>
      <c r="G62" s="22">
        <f>F62</f>
        <v/>
      </c>
      <c r="H62" s="37" t="n"/>
      <c r="I62" s="37" t="n"/>
      <c r="J62" s="37" t="n"/>
      <c r="K62" s="38">
        <f>IF(COUNTIF(H62:J62,"&gt;0")=0,"",MIN(IF(AND(ISNUMBER(H62),H62&gt;0),H62,9E+99),IF(AND(ISNUMBER(I62),I62&gt;0),I62,9E+99),IF(AND(ISNUMBER(J62),J62&gt;0),J62,9E+99)))</f>
        <v/>
      </c>
      <c r="L62" s="39">
        <f>IFERROR(G62*K62,"")</f>
        <v/>
      </c>
      <c r="M62" s="23" t="inlineStr"/>
    </row>
    <row r="63" ht="27" customHeight="1">
      <c r="B63" s="33" t="inlineStr">
        <is>
          <t>Billing and back office</t>
        </is>
      </c>
      <c r="C63" s="34" t="inlineStr">
        <is>
          <t>Bill printer</t>
        </is>
      </c>
      <c r="D63" s="23" t="inlineStr">
        <is>
          <t>Thermal, at the back bar and clear of the wet zone.</t>
        </is>
      </c>
      <c r="E63" s="35" t="inlineStr">
        <is>
          <t>Day one</t>
        </is>
      </c>
      <c r="F63" s="36">
        <f>1*'Bar Profile'!$C$7</f>
        <v/>
      </c>
      <c r="G63" s="22">
        <f>F63</f>
        <v/>
      </c>
      <c r="H63" s="37" t="n"/>
      <c r="I63" s="37" t="n"/>
      <c r="J63" s="37" t="n"/>
      <c r="K63" s="38">
        <f>IF(COUNTIF(H63:J63,"&gt;0")=0,"",MIN(IF(AND(ISNUMBER(H63),H63&gt;0),H63,9E+99),IF(AND(ISNUMBER(I63),I63&gt;0),I63,9E+99),IF(AND(ISNUMBER(J63),J63&gt;0),J63,9E+99)))</f>
        <v/>
      </c>
      <c r="L63" s="39">
        <f>IFERROR(G63*K63,"")</f>
        <v/>
      </c>
      <c r="M63" s="23" t="inlineStr"/>
    </row>
    <row r="64" ht="27" customHeight="1">
      <c r="B64" s="33" t="inlineStr">
        <is>
          <t>Billing and back office</t>
        </is>
      </c>
      <c r="C64" s="34" t="inlineStr">
        <is>
          <t>KOT printer (kitchen, if you serve food)</t>
        </is>
      </c>
      <c r="D64" s="23" t="inlineStr">
        <is>
          <t>Only if there is a kitchen behind the bar.</t>
        </is>
      </c>
      <c r="E64" s="35" t="inlineStr">
        <is>
          <t>Day one</t>
        </is>
      </c>
      <c r="F64" s="36">
        <f>1</f>
        <v/>
      </c>
      <c r="G64" s="22">
        <f>F64</f>
        <v/>
      </c>
      <c r="H64" s="37" t="n"/>
      <c r="I64" s="37" t="n"/>
      <c r="J64" s="37" t="n"/>
      <c r="K64" s="38">
        <f>IF(COUNTIF(H64:J64,"&gt;0")=0,"",MIN(IF(AND(ISNUMBER(H64),H64&gt;0),H64,9E+99),IF(AND(ISNUMBER(I64),I64&gt;0),I64,9E+99),IF(AND(ISNUMBER(J64),J64&gt;0),J64,9E+99)))</f>
        <v/>
      </c>
      <c r="L64" s="39">
        <f>IFERROR(G64*K64,"")</f>
        <v/>
      </c>
      <c r="M64" s="23" t="inlineStr"/>
    </row>
    <row r="65" ht="27" customHeight="1">
      <c r="B65" s="33" t="inlineStr">
        <is>
          <t>Billing and back office</t>
        </is>
      </c>
      <c r="C65" s="34" t="inlineStr">
        <is>
          <t>Cash drawer</t>
        </is>
      </c>
      <c r="D65" s="23" t="inlineStr">
        <is>
          <t>Even on a mostly-digital bar.</t>
        </is>
      </c>
      <c r="E65" s="35" t="inlineStr">
        <is>
          <t>Day one</t>
        </is>
      </c>
      <c r="F65" s="36">
        <f>1*'Bar Profile'!$C$7</f>
        <v/>
      </c>
      <c r="G65" s="22">
        <f>F65</f>
        <v/>
      </c>
      <c r="H65" s="37" t="n"/>
      <c r="I65" s="37" t="n"/>
      <c r="J65" s="37" t="n"/>
      <c r="K65" s="38">
        <f>IF(COUNTIF(H65:J65,"&gt;0")=0,"",MIN(IF(AND(ISNUMBER(H65),H65&gt;0),H65,9E+99),IF(AND(ISNUMBER(I65),I65&gt;0),I65,9E+99),IF(AND(ISNUMBER(J65),J65&gt;0),J65,9E+99)))</f>
        <v/>
      </c>
      <c r="L65" s="39">
        <f>IFERROR(G65*K65,"")</f>
        <v/>
      </c>
      <c r="M65" s="23" t="inlineStr"/>
    </row>
    <row r="66" ht="27" customHeight="1">
      <c r="B66" s="33" t="inlineStr">
        <is>
          <t>Billing and back office</t>
        </is>
      </c>
      <c r="C66" s="34" t="inlineStr">
        <is>
          <t>UPS or inverter for the till</t>
        </is>
      </c>
      <c r="D66" s="23" t="inlineStr">
        <is>
          <t>A power cut mid-service should not lose the open tabs.</t>
        </is>
      </c>
      <c r="E66" s="35" t="inlineStr">
        <is>
          <t>Day one</t>
        </is>
      </c>
      <c r="F66" s="36">
        <f>1</f>
        <v/>
      </c>
      <c r="G66" s="22">
        <f>F66</f>
        <v/>
      </c>
      <c r="H66" s="37" t="n"/>
      <c r="I66" s="37" t="n"/>
      <c r="J66" s="37" t="n"/>
      <c r="K66" s="38">
        <f>IF(COUNTIF(H66:J66,"&gt;0")=0,"",MIN(IF(AND(ISNUMBER(H66),H66&gt;0),H66,9E+99),IF(AND(ISNUMBER(I66),I66&gt;0),I66,9E+99),IF(AND(ISNUMBER(J66),J66&gt;0),J66,9E+99)))</f>
        <v/>
      </c>
      <c r="L66" s="39">
        <f>IFERROR(G66*K66,"")</f>
        <v/>
      </c>
      <c r="M66" s="23" t="inlineStr"/>
    </row>
    <row r="67" ht="40" customHeight="1">
      <c r="B67" s="33" t="inlineStr">
        <is>
          <t>Billing and back office</t>
        </is>
      </c>
      <c r="C67" s="34" t="inlineStr">
        <is>
          <t>Weighing scale for bottle stock counts</t>
        </is>
      </c>
      <c r="D67" s="23" t="inlineStr">
        <is>
          <t>Weighing a part bottle is how you count spirits properly. If it is used to decide a quantity sold, it needs verification too.</t>
        </is>
      </c>
      <c r="E67" s="41" t="inlineStr">
        <is>
          <t>Later</t>
        </is>
      </c>
      <c r="F67" s="36">
        <f>1</f>
        <v/>
      </c>
      <c r="G67" s="22">
        <f>F67</f>
        <v/>
      </c>
      <c r="H67" s="37" t="n"/>
      <c r="I67" s="37" t="n"/>
      <c r="J67" s="37" t="n"/>
      <c r="K67" s="38">
        <f>IF(COUNTIF(H67:J67,"&gt;0")=0,"",MIN(IF(AND(ISNUMBER(H67),H67&gt;0),H67,9E+99),IF(AND(ISNUMBER(I67),I67&gt;0),I67,9E+99),IF(AND(ISNUMBER(J67),J67&gt;0),J67,9E+99)))</f>
        <v/>
      </c>
      <c r="L67" s="39">
        <f>IFERROR(G67*K67,"")</f>
        <v/>
      </c>
      <c r="M67" s="40" t="inlineStr">
        <is>
          <t>If it decides a quantity sold, Legal Metrology applies.</t>
        </is>
      </c>
    </row>
    <row r="68" ht="27" customHeight="1">
      <c r="B68" s="33" t="inlineStr">
        <is>
          <t>Billing and back office</t>
        </is>
      </c>
      <c r="C68" s="34" t="inlineStr">
        <is>
          <t>Card machine or QR standee</t>
        </is>
      </c>
      <c r="D68" s="23" t="inlineStr">
        <is>
          <t>Usually the bank's, but budget the rental.</t>
        </is>
      </c>
      <c r="E68" s="35" t="inlineStr">
        <is>
          <t>Day one</t>
        </is>
      </c>
      <c r="F68" s="36">
        <f>1*'Bar Profile'!$C$7</f>
        <v/>
      </c>
      <c r="G68" s="22">
        <f>F68</f>
        <v/>
      </c>
      <c r="H68" s="37" t="n"/>
      <c r="I68" s="37" t="n"/>
      <c r="J68" s="37" t="n"/>
      <c r="K68" s="38">
        <f>IF(COUNTIF(H68:J68,"&gt;0")=0,"",MIN(IF(AND(ISNUMBER(H68),H68&gt;0),H68,9E+99),IF(AND(ISNUMBER(I68),I68&gt;0),I68,9E+99),IF(AND(ISNUMBER(J68),J68&gt;0),J68,9E+99)))</f>
        <v/>
      </c>
      <c r="L68" s="39">
        <f>IFERROR(G68*K68,"")</f>
        <v/>
      </c>
      <c r="M68" s="23" t="inlineStr"/>
    </row>
    <row r="69" ht="27" customHeight="1">
      <c r="B69" s="33" t="inlineStr">
        <is>
          <t>Billing and back office</t>
        </is>
      </c>
      <c r="C69" s="34" t="inlineStr">
        <is>
          <t>Stock room shelving and count sheets</t>
        </is>
      </c>
      <c r="D69" s="23" t="inlineStr">
        <is>
          <t>The count only works if the stock room has a fixed layout.</t>
        </is>
      </c>
      <c r="E69" s="35" t="inlineStr">
        <is>
          <t>Day one</t>
        </is>
      </c>
      <c r="F69" s="36">
        <f>1</f>
        <v/>
      </c>
      <c r="G69" s="22">
        <f>F69</f>
        <v/>
      </c>
      <c r="H69" s="37" t="n"/>
      <c r="I69" s="37" t="n"/>
      <c r="J69" s="37" t="n"/>
      <c r="K69" s="38">
        <f>IF(COUNTIF(H69:J69,"&gt;0")=0,"",MIN(IF(AND(ISNUMBER(H69),H69&gt;0),H69,9E+99),IF(AND(ISNUMBER(I69),I69&gt;0),I69,9E+99),IF(AND(ISNUMBER(J69),J69&gt;0),J69,9E+99)))</f>
        <v/>
      </c>
      <c r="L69" s="39">
        <f>IFERROR(G69*K69,"")</f>
        <v/>
      </c>
      <c r="M69" s="23" t="inlineStr"/>
    </row>
    <row r="70" ht="27" customHeight="1">
      <c r="B70" s="33" t="inlineStr">
        <is>
          <t>Billing and back office</t>
        </is>
      </c>
      <c r="C70" s="34" t="inlineStr">
        <is>
          <t>Digital menu or printed menu boards</t>
        </is>
      </c>
      <c r="D70" s="23" t="inlineStr">
        <is>
          <t>Prices shown must match what the till charges.</t>
        </is>
      </c>
      <c r="E70" s="35" t="inlineStr">
        <is>
          <t>Day one</t>
        </is>
      </c>
      <c r="F70" s="36">
        <f>1</f>
        <v/>
      </c>
      <c r="G70" s="22">
        <f>F70</f>
        <v/>
      </c>
      <c r="H70" s="37" t="n"/>
      <c r="I70" s="37" t="n"/>
      <c r="J70" s="37" t="n"/>
      <c r="K70" s="38">
        <f>IF(COUNTIF(H70:J70,"&gt;0")=0,"",MIN(IF(AND(ISNUMBER(H70),H70&gt;0),H70,9E+99),IF(AND(ISNUMBER(I70),I70&gt;0),I70,9E+99),IF(AND(ISNUMBER(J70),J70&gt;0),J70,9E+99)))</f>
        <v/>
      </c>
      <c r="L70" s="39">
        <f>IFERROR(G70*K70,"")</f>
        <v/>
      </c>
      <c r="M70" s="40" t="inlineStr">
        <is>
          <t>Price displayed and price charged must agree.</t>
        </is>
      </c>
    </row>
    <row r="71" ht="106" customHeight="1">
      <c r="B71" s="33" t="inlineStr">
        <is>
          <t>Billing and back office</t>
        </is>
      </c>
      <c r="C71" s="34" t="inlineStr">
        <is>
          <t>CCTV over the pour and the till</t>
        </is>
      </c>
      <c r="D71" s="23" t="inlineStr">
        <is>
          <t>The two places stock and cash leave from. Staff-side loss prevention is a legitimate use under section 7(i) of the DPDP Act 2023. Guests in the frame are not covered by that limb, so take advice on notice before you rely on footage of customers.</t>
        </is>
      </c>
      <c r="E71" s="41" t="inlineStr">
        <is>
          <t>Later</t>
        </is>
      </c>
      <c r="F71" s="36">
        <f>1</f>
        <v/>
      </c>
      <c r="G71" s="22">
        <f>F71</f>
        <v/>
      </c>
      <c r="H71" s="37" t="n"/>
      <c r="I71" s="37" t="n"/>
      <c r="J71" s="37" t="n"/>
      <c r="K71" s="38">
        <f>IF(COUNTIF(H71:J71,"&gt;0")=0,"",MIN(IF(AND(ISNUMBER(H71),H71&gt;0),H71,9E+99),IF(AND(ISNUMBER(I71),I71&gt;0),I71,9E+99),IF(AND(ISNUMBER(J71),J71&gt;0),J71,9E+99)))</f>
        <v/>
      </c>
      <c r="L71" s="39">
        <f>IFERROR(G71*K71,"")</f>
        <v/>
      </c>
      <c r="M71" s="40" t="inlineStr">
        <is>
          <t>Before acting on any one person: check the process explanation first, look for a pattern across separate periods rather than one anomaly, and fix the process before you change the people.</t>
        </is>
      </c>
    </row>
    <row r="72" ht="40" customHeight="1">
      <c r="B72" s="33" t="inlineStr">
        <is>
          <t>Your own items</t>
        </is>
      </c>
      <c r="C72" s="42" t="n"/>
      <c r="D72" s="43" t="n"/>
      <c r="E72" s="44" t="inlineStr">
        <is>
          <t>Day one</t>
        </is>
      </c>
      <c r="F72" s="36" t="n"/>
      <c r="G72" s="22" t="n"/>
      <c r="H72" s="37" t="n"/>
      <c r="I72" s="37" t="n"/>
      <c r="J72" s="37" t="n"/>
      <c r="K72" s="38">
        <f>IF(COUNTIF(H72:J72,"&gt;0")=0,"",MIN(IF(AND(ISNUMBER(H72),H72&gt;0),H72,9E+99),IF(AND(ISNUMBER(I72),I72&gt;0),I72,9E+99),IF(AND(ISNUMBER(J72),J72&gt;0),J72,9E+99)))</f>
        <v/>
      </c>
      <c r="L72" s="39">
        <f>IFERROR(G72*K72,"")</f>
        <v/>
      </c>
      <c r="M72" s="45" t="inlineStr">
        <is>
          <t>Anything the list does not carry. Type the item, spec and quantity.</t>
        </is>
      </c>
    </row>
    <row r="73" ht="40" customHeight="1">
      <c r="B73" s="33" t="inlineStr">
        <is>
          <t>Your own items</t>
        </is>
      </c>
      <c r="C73" s="42" t="n"/>
      <c r="D73" s="43" t="n"/>
      <c r="E73" s="44" t="inlineStr">
        <is>
          <t>Day one</t>
        </is>
      </c>
      <c r="F73" s="36" t="n"/>
      <c r="G73" s="22" t="n"/>
      <c r="H73" s="37" t="n"/>
      <c r="I73" s="37" t="n"/>
      <c r="J73" s="37" t="n"/>
      <c r="K73" s="38">
        <f>IF(COUNTIF(H73:J73,"&gt;0")=0,"",MIN(IF(AND(ISNUMBER(H73),H73&gt;0),H73,9E+99),IF(AND(ISNUMBER(I73),I73&gt;0),I73,9E+99),IF(AND(ISNUMBER(J73),J73&gt;0),J73,9E+99)))</f>
        <v/>
      </c>
      <c r="L73" s="39">
        <f>IFERROR(G73*K73,"")</f>
        <v/>
      </c>
      <c r="M73" s="45" t="inlineStr">
        <is>
          <t>Anything the list does not carry. Type the item, spec and quantity.</t>
        </is>
      </c>
    </row>
    <row r="74" ht="40" customHeight="1">
      <c r="B74" s="33" t="inlineStr">
        <is>
          <t>Your own items</t>
        </is>
      </c>
      <c r="C74" s="42" t="n"/>
      <c r="D74" s="43" t="n"/>
      <c r="E74" s="44" t="inlineStr">
        <is>
          <t>Day one</t>
        </is>
      </c>
      <c r="F74" s="36" t="n"/>
      <c r="G74" s="22" t="n"/>
      <c r="H74" s="37" t="n"/>
      <c r="I74" s="37" t="n"/>
      <c r="J74" s="37" t="n"/>
      <c r="K74" s="38">
        <f>IF(COUNTIF(H74:J74,"&gt;0")=0,"",MIN(IF(AND(ISNUMBER(H74),H74&gt;0),H74,9E+99),IF(AND(ISNUMBER(I74),I74&gt;0),I74,9E+99),IF(AND(ISNUMBER(J74),J74&gt;0),J74,9E+99)))</f>
        <v/>
      </c>
      <c r="L74" s="39">
        <f>IFERROR(G74*K74,"")</f>
        <v/>
      </c>
      <c r="M74" s="45" t="inlineStr">
        <is>
          <t>Anything the list does not carry. Type the item, spec and quantity.</t>
        </is>
      </c>
    </row>
    <row r="75" ht="40" customHeight="1">
      <c r="B75" s="33" t="inlineStr">
        <is>
          <t>Your own items</t>
        </is>
      </c>
      <c r="C75" s="42" t="n"/>
      <c r="D75" s="43" t="n"/>
      <c r="E75" s="44" t="inlineStr">
        <is>
          <t>Day one</t>
        </is>
      </c>
      <c r="F75" s="36" t="n"/>
      <c r="G75" s="22" t="n"/>
      <c r="H75" s="37" t="n"/>
      <c r="I75" s="37" t="n"/>
      <c r="J75" s="37" t="n"/>
      <c r="K75" s="38">
        <f>IF(COUNTIF(H75:J75,"&gt;0")=0,"",MIN(IF(AND(ISNUMBER(H75),H75&gt;0),H75,9E+99),IF(AND(ISNUMBER(I75),I75&gt;0),I75,9E+99),IF(AND(ISNUMBER(J75),J75&gt;0),J75,9E+99)))</f>
        <v/>
      </c>
      <c r="L75" s="39">
        <f>IFERROR(G75*K75,"")</f>
        <v/>
      </c>
      <c r="M75" s="45" t="inlineStr">
        <is>
          <t>Anything the list does not carry. Type the item, spec and quantity.</t>
        </is>
      </c>
    </row>
    <row r="76" ht="40" customHeight="1">
      <c r="B76" s="33" t="inlineStr">
        <is>
          <t>Your own items</t>
        </is>
      </c>
      <c r="C76" s="42" t="n"/>
      <c r="D76" s="43" t="n"/>
      <c r="E76" s="44" t="inlineStr">
        <is>
          <t>Day one</t>
        </is>
      </c>
      <c r="F76" s="36" t="n"/>
      <c r="G76" s="22" t="n"/>
      <c r="H76" s="37" t="n"/>
      <c r="I76" s="37" t="n"/>
      <c r="J76" s="37" t="n"/>
      <c r="K76" s="38">
        <f>IF(COUNTIF(H76:J76,"&gt;0")=0,"",MIN(IF(AND(ISNUMBER(H76),H76&gt;0),H76,9E+99),IF(AND(ISNUMBER(I76),I76&gt;0),I76,9E+99),IF(AND(ISNUMBER(J76),J76&gt;0),J76,9E+99)))</f>
        <v/>
      </c>
      <c r="L76" s="39">
        <f>IFERROR(G76*K76,"")</f>
        <v/>
      </c>
      <c r="M76" s="45" t="inlineStr">
        <is>
          <t>Anything the list does not carry. Type the item, spec and quantity.</t>
        </is>
      </c>
    </row>
    <row r="77" ht="40" customHeight="1">
      <c r="B77" s="33" t="inlineStr">
        <is>
          <t>Your own items</t>
        </is>
      </c>
      <c r="C77" s="42" t="n"/>
      <c r="D77" s="43" t="n"/>
      <c r="E77" s="44" t="inlineStr">
        <is>
          <t>Day one</t>
        </is>
      </c>
      <c r="F77" s="36" t="n"/>
      <c r="G77" s="22" t="n"/>
      <c r="H77" s="37" t="n"/>
      <c r="I77" s="37" t="n"/>
      <c r="J77" s="37" t="n"/>
      <c r="K77" s="38">
        <f>IF(COUNTIF(H77:J77,"&gt;0")=0,"",MIN(IF(AND(ISNUMBER(H77),H77&gt;0),H77,9E+99),IF(AND(ISNUMBER(I77),I77&gt;0),I77,9E+99),IF(AND(ISNUMBER(J77),J77&gt;0),J77,9E+99)))</f>
        <v/>
      </c>
      <c r="L77" s="39">
        <f>IFERROR(G77*K77,"")</f>
        <v/>
      </c>
      <c r="M77" s="45" t="inlineStr">
        <is>
          <t>Anything the list does not carry. Type the item, spec and quantity.</t>
        </is>
      </c>
    </row>
    <row r="78" ht="27" customHeight="1">
      <c r="B78" s="29" t="inlineStr">
        <is>
          <t>Total</t>
        </is>
      </c>
      <c r="C78" s="29" t="inlineStr">
        <is>
          <t>All items, at your quantities and your best quotes</t>
        </is>
      </c>
      <c r="D78" s="46" t="n"/>
      <c r="E78" s="46" t="n"/>
      <c r="F78" s="46" t="n"/>
      <c r="G78" s="46" t="n"/>
      <c r="H78" s="46" t="n"/>
      <c r="I78" s="46" t="n"/>
      <c r="J78" s="46" t="n"/>
      <c r="K78" s="46" t="n"/>
      <c r="L78" s="47">
        <f>SUM(L6:L77)</f>
        <v/>
      </c>
      <c r="M78" s="48" t="n"/>
    </row>
    <row r="79"/>
    <row r="80" ht="40" customHeight="1">
      <c r="B80" s="18" t="inlineStr">
        <is>
          <t>Best quote takes the lowest of the three figures you entered, so a blank column costs you nothing. A line with no quote at all shows as blank and is counted on the Budget Summary as still to price. Printing this sheet gives you the enquiry to send a supplier: it comes out landscape, one page wide, with the header repeated, and it stops after the three quote columns. Your best quotes, your line totals and your own notes sit outside the print area, so they stay with you.</t>
        </is>
      </c>
    </row>
    <row r="81"/>
    <row r="82">
      <c r="B82"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4">
    <mergeCell ref="B3:M3"/>
    <mergeCell ref="B80:M80"/>
    <mergeCell ref="B2:M2"/>
    <mergeCell ref="B82:M82"/>
  </mergeCells>
  <dataValidations count="2">
    <dataValidation sqref="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showDropDown="0" showInputMessage="0" showErrorMessage="1" allowBlank="1" errorTitle="Price per unit" error="Enter the supplier's price per unit in rupees, as a number. Leave it blank if they did not quote. Do not type 0." type="decimal" errorStyle="stop" operator="greaterThan">
      <formula1>0</formula1>
    </dataValidation>
    <dataValidation sqref="E72 E73 E74 E75 E76 E77" showDropDown="0" showInputMessage="0" showErrorMessage="1" allowBlank="1" errorTitle="Day one or Later" error="Pick Day one or Later from the dropdown." type="list" errorStyle="stop">
      <formula1>=Lists!$A$11:$A$12</formula1>
    </dataValidation>
  </dataValidations>
  <printOptions horizontalCentered="1"/>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40"/>
  <sheetViews>
    <sheetView showGridLines="0" workbookViewId="0">
      <selection activeCell="A1" sqref="A1"/>
    </sheetView>
  </sheetViews>
  <sheetFormatPr baseColWidth="8" defaultRowHeight="15"/>
  <cols>
    <col width="3" customWidth="1" min="1" max="1"/>
    <col width="34" customWidth="1" min="2" max="2"/>
    <col width="62" customWidth="1" min="3" max="3"/>
    <col width="40" customWidth="1" min="4" max="4"/>
    <col width="3" customWidth="1" min="5" max="5"/>
  </cols>
  <sheetData>
    <row r="1"/>
    <row r="2" ht="22" customHeight="1">
      <c r="B2" s="20" t="inlineStr">
        <is>
          <t>Before you buy</t>
        </is>
      </c>
      <c r="C2" s="2" t="n"/>
      <c r="D2" s="2" t="n"/>
    </row>
    <row r="3" ht="27" customHeight="1">
      <c r="B3" s="3" t="inlineStr">
        <is>
          <t>Two Indian rules reach the kit itself behind your counter. Neither appears on an imported bar equipment list, and both are cheap to settle before opening and expensive during an inspection. The excise licence that lets you open at all is a separate question.</t>
        </is>
      </c>
    </row>
    <row r="4"/>
    <row r="5">
      <c r="B5" s="14" t="inlineStr">
        <is>
          <t>1. Your serving measure is a legal instrument</t>
        </is>
      </c>
      <c r="C5" s="15" t="n"/>
      <c r="D5" s="15" t="n"/>
    </row>
    <row r="6">
      <c r="B6" s="6" t="inlineStr">
        <is>
          <t>Point</t>
        </is>
      </c>
      <c r="C6" s="6" t="inlineStr">
        <is>
          <t>What it says</t>
        </is>
      </c>
      <c r="D6" s="6" t="inlineStr">
        <is>
          <t>What you do about it</t>
        </is>
      </c>
    </row>
    <row r="7" ht="40" customHeight="1">
      <c r="B7" s="7" t="inlineStr">
        <is>
          <t>Why a jigger counts</t>
        </is>
      </c>
      <c r="C7" s="8" t="inlineStr">
        <is>
          <t>A jigger or peg measure decides the quantity you sell. That makes it a measure used in trade, and it falls under the Legal Metrology Act, 2009.</t>
        </is>
      </c>
      <c r="D7" s="17" t="inlineStr">
        <is>
          <t>Treat every measure at the bar as equipment that needs paperwork, not as a hand tool.</t>
        </is>
      </c>
    </row>
    <row r="8" ht="53" customHeight="1">
      <c r="B8" s="7" t="inlineStr">
        <is>
          <t>The obligation, section 24</t>
        </is>
      </c>
      <c r="C8" s="8" t="inlineStr">
        <is>
          <t>Section 24 of the Legal Metrology Act, 2009 requires a weight or measure to be verified and stamped before it is put into use. Verification and stamping is arranged through your state legal metrology department.</t>
        </is>
      </c>
      <c r="D8" s="17" t="inlineStr">
        <is>
          <t>Get the measures stamped before you open, not after the first inspection.</t>
        </is>
      </c>
    </row>
    <row r="9" ht="93" customHeight="1">
      <c r="B9" s="7" t="inlineStr">
        <is>
          <t>The penalty, section 33</t>
        </is>
      </c>
      <c r="C9" s="8" t="inlineStr">
        <is>
          <t>Using an unverified measure is punishable with a fine of not less than ₹2,000 and up to ₹10,000. A second offence can bring imprisonment of up to one year and a fine of up to ₹10,000. These are the amounts written in the Act. Both Jan Vishwas Acts also raise fines under the Acts they cover by ten per cent of the minimum every three years, so confirm the current figure with your state department.</t>
        </is>
      </c>
      <c r="D9" s="17" t="inlineStr">
        <is>
          <t>The cost of stamping is a rounding error against this. Do it first.</t>
        </is>
      </c>
    </row>
    <row r="10" ht="80" customHeight="1">
      <c r="B10" s="7" t="inlineStr">
        <is>
          <t>Compounding</t>
        </is>
      </c>
      <c r="C10" s="8" t="inlineStr">
        <is>
          <t>The offence can be compounded instead of going to court. Section 48 was replaced from 1 May 2026: an offence under section 33 may be compounded by the Controller or an officer authorised by him, before or after a prosecution begins, on payment of such sum as may be prescribed, and that sum cannot exceed the maximum fine for the offence.</t>
        </is>
      </c>
      <c r="D10" s="17" t="inlineStr">
        <is>
          <t>Do not plan around it, and do not rely on an older published rate card. Ask your state department what is prescribed now.</t>
        </is>
      </c>
    </row>
    <row r="11" ht="27" customHeight="1">
      <c r="B11" s="7" t="inlineStr">
        <is>
          <t>What a supplier will not tell you</t>
        </is>
      </c>
      <c r="C11" s="8" t="inlineStr">
        <is>
          <t>A jigger ordered online does not arrive stamped. Nor does a set bundled with a bar counter.</t>
        </is>
      </c>
      <c r="D11" s="17" t="inlineStr">
        <is>
          <t>Ask in writing whether the measures are verifiable, before you pay.</t>
        </is>
      </c>
    </row>
    <row r="12" ht="40" customHeight="1">
      <c r="B12" s="7" t="inlineStr">
        <is>
          <t>Peg sizes</t>
        </is>
      </c>
      <c r="C12" s="8" t="inlineStr">
        <is>
          <t>Peg sizes are trade convention and your state excise licence conditions, not something this sheet can settle for you.</t>
        </is>
      </c>
      <c r="D12" s="17" t="inlineStr">
        <is>
          <t>Make the stamped measure match what your menu prints and what your excise licence allows.</t>
        </is>
      </c>
    </row>
    <row r="13"/>
    <row r="14">
      <c r="B14" s="14" t="inlineStr">
        <is>
          <t>2. Your bar is a food business behind the counter too</t>
        </is>
      </c>
      <c r="C14" s="15" t="n"/>
      <c r="D14" s="15" t="n"/>
    </row>
    <row r="15">
      <c r="B15" s="6" t="inlineStr">
        <is>
          <t>Point</t>
        </is>
      </c>
      <c r="C15" s="6" t="inlineStr">
        <is>
          <t>What it says</t>
        </is>
      </c>
      <c r="D15" s="6" t="inlineStr">
        <is>
          <t>What you do about it</t>
        </is>
      </c>
    </row>
    <row r="16" ht="53" customHeight="1">
      <c r="B16" s="7" t="inlineStr">
        <is>
          <t>Which part applies</t>
        </is>
      </c>
      <c r="C16" s="8" t="inlineStr">
        <is>
          <t>Part V of Schedule 4 of the food safety regulations covers catering and food service establishments, and names snack bars directly. It applies on top of the general requirements, not instead of them.</t>
        </is>
      </c>
      <c r="D16" s="17" t="inlineStr">
        <is>
          <t>Assume everything behind the counter is inspectable on the same terms as a kitchen.</t>
        </is>
      </c>
    </row>
    <row r="17" ht="66" customHeight="1">
      <c r="B17" s="7" t="inlineStr">
        <is>
          <t>Your wash setup</t>
        </is>
      </c>
      <c r="C17" s="8" t="inlineStr">
        <is>
          <t>Part V requires sinks with a draining board, detergent and hot water to clean utensils, crockery and cutlery, and a separate place for washing pots and pans. Separate sinks for washing raw food and cleaning equipment are required where necessary.</t>
        </is>
      </c>
      <c r="D17" s="17" t="inlineStr">
        <is>
          <t>One sink behind the bar does not meet it. Budget the glass washer or the multi-sink setup as a day-one line, not a later one.</t>
        </is>
      </c>
    </row>
    <row r="18" ht="40" customHeight="1">
      <c r="B18" s="7" t="inlineStr">
        <is>
          <t>A systematic cleaning schedule</t>
        </is>
      </c>
      <c r="C18" s="8" t="inlineStr">
        <is>
          <t>Part V requires a systematic cleaning schedule and instructions, developed by the business, covering what is cleaned, how often, how, and with which products.</t>
        </is>
      </c>
      <c r="D18" s="17" t="inlineStr">
        <is>
          <t>Write it before opening and keep it where it can be produced.</t>
        </is>
      </c>
    </row>
    <row r="19" ht="40" customHeight="1">
      <c r="B19" s="7" t="inlineStr">
        <is>
          <t>Storage and staff hygiene</t>
        </is>
      </c>
      <c r="C19" s="8" t="inlineStr">
        <is>
          <t>Covered containers for prepared fruit under refrigeration, dried stock sealed and off the floor, a fridge at 5 degrees C, and a personal hygiene section, all inside the same part.</t>
        </is>
      </c>
      <c r="D19" s="17" t="inlineStr">
        <is>
          <t>The thermometer and the covered caddy on the equipment list are there for this reason.</t>
        </is>
      </c>
    </row>
    <row r="20"/>
    <row r="21">
      <c r="B21" s="26" t="inlineStr">
        <is>
          <t>3. Questions to put to a supplier before you pay</t>
        </is>
      </c>
      <c r="C21" s="27" t="n"/>
      <c r="D21" s="27" t="n"/>
    </row>
    <row r="22">
      <c r="B22" s="6" t="inlineStr">
        <is>
          <t>Ask</t>
        </is>
      </c>
      <c r="C22" s="6" t="inlineStr">
        <is>
          <t>Why it matters</t>
        </is>
      </c>
      <c r="D22" s="6" t="inlineStr">
        <is>
          <t>Answer you got</t>
        </is>
      </c>
    </row>
    <row r="23" ht="27" customHeight="1">
      <c r="B23" s="7" t="inlineStr">
        <is>
          <t>Is this food-grade stainless steel, or plated?</t>
        </is>
      </c>
      <c r="C23" s="8" t="inlineStr">
        <is>
          <t>Plating chips into drinks and the tool then has to be binned.</t>
        </is>
      </c>
      <c r="D23" s="49" t="n"/>
    </row>
    <row r="24" ht="27" customHeight="1">
      <c r="B24" s="7" t="inlineStr">
        <is>
          <t>Is it commercial weight?</t>
        </is>
      </c>
      <c r="C24" s="8" t="inlineStr">
        <is>
          <t>Anything that feels flimsy in the shop will not last a season behind a busy counter.</t>
        </is>
      </c>
      <c r="D24" s="49" t="n"/>
    </row>
    <row r="25" ht="27" customHeight="1">
      <c r="B25" s="7" t="inlineStr">
        <is>
          <t>Are there visible seams on anything holding liquid?</t>
        </is>
      </c>
      <c r="C25" s="8" t="inlineStr">
        <is>
          <t>Seams trap residue and fail a hygiene check.</t>
        </is>
      </c>
      <c r="D25" s="49" t="n"/>
    </row>
    <row r="26">
      <c r="B26" s="7" t="inlineStr">
        <is>
          <t>Is it dishwasher safe?</t>
        </is>
      </c>
      <c r="C26" s="8" t="inlineStr">
        <is>
          <t>Hand-wash-only tools slow the close down every night.</t>
        </is>
      </c>
      <c r="D26" s="49" t="n"/>
    </row>
    <row r="27" ht="27" customHeight="1">
      <c r="B27" s="7" t="inlineStr">
        <is>
          <t>Are the peg measures verifiable under Legal Metrology?</t>
        </is>
      </c>
      <c r="C27" s="8" t="inlineStr">
        <is>
          <t>They arrive unstamped. You need to know they can be stamped at all.</t>
        </is>
      </c>
      <c r="D27" s="49" t="n"/>
    </row>
    <row r="28" ht="27" customHeight="1">
      <c r="B28" s="7" t="inlineStr">
        <is>
          <t>What is the warranty, and who services it locally?</t>
        </is>
      </c>
      <c r="C28" s="8" t="inlineStr">
        <is>
          <t>An ice machine with no local service is a machine you will run without.</t>
        </is>
      </c>
      <c r="D28" s="49" t="n"/>
    </row>
    <row r="29" ht="27" customHeight="1">
      <c r="B29" s="7" t="inlineStr">
        <is>
          <t>What is the lead time, and what is the penalty if it slips?</t>
        </is>
      </c>
      <c r="C29" s="8" t="inlineStr">
        <is>
          <t>The ice machine and the wash setup are the two that hold up an opening.</t>
        </is>
      </c>
      <c r="D29" s="49" t="n"/>
    </row>
    <row r="30" ht="27" customHeight="1">
      <c r="B30" s="7" t="inlineStr">
        <is>
          <t>What does installation include: water inlet, drain, power?</t>
        </is>
      </c>
      <c r="C30" s="8" t="inlineStr">
        <is>
          <t>The ice machine and glass washer both need all three, and the quote often excludes them.</t>
        </is>
      </c>
      <c r="D30" s="49" t="n"/>
    </row>
    <row r="31" ht="27" customHeight="1">
      <c r="B31" s="7" t="inlineStr">
        <is>
          <t>Is GST included in the quoted price?</t>
        </is>
      </c>
      <c r="C31" s="8" t="inlineStr">
        <is>
          <t>Quotes arrive both ways, which makes three quotes uncomparable.</t>
        </is>
      </c>
      <c r="D31" s="49" t="n"/>
    </row>
    <row r="32" ht="27" customHeight="1">
      <c r="B32" s="7" t="inlineStr">
        <is>
          <t>Can I have the specification in writing with the quote?</t>
        </is>
      </c>
      <c r="C32" s="8" t="inlineStr">
        <is>
          <t>The same shaker sells at four prices. Only a written spec makes quotes comparable.</t>
        </is>
      </c>
      <c r="D32" s="49" t="n"/>
    </row>
    <row r="33"/>
    <row r="34">
      <c r="B34" s="26" t="inlineStr">
        <is>
          <t>4. The order things arrive in</t>
        </is>
      </c>
      <c r="C34" s="27" t="n"/>
      <c r="D34" s="27" t="n"/>
    </row>
    <row r="35" ht="40" customHeight="1">
      <c r="B35" s="13" t="inlineStr">
        <is>
          <t>Bars rarely get the list wrong. They get the order wrong, and buy the showpiece shaker before the ice machine. Everything marked Day one on the Equipment List is a launch blocker: service stops without it. Everything marked Later either improves the drink and the look, or protects the margin once you are trading, and can follow.</t>
        </is>
      </c>
    </row>
    <row r="36" ht="40" customHeight="1">
      <c r="B36" s="13" t="inlineStr">
        <is>
          <t>Two that are regularly underbought: ice and wash capacity. Ice is an ingredient and a bottle cooler does not make it, so a bar that opens without a machine sends a runner out every evening. Wash capacity decides how many guests you can serve, and it is the first line cut when the budget tightens.</t>
        </is>
      </c>
    </row>
    <row r="37"/>
    <row r="38" ht="80" customHeight="1">
      <c r="B38" s="18" t="inlineStr">
        <is>
          <t>Sources read 22-Sep-2026. Legal Metrology Act, 2009, sections 24 and 33, neither of which was amended by the Jan Vishwas (Amendment of Provisions) Acts of 2023 or 2026; penalty amounts as restated in the Delhi Legal Metrology (Weights and Measures) Department's published penalties table. Compounding as substituted by the Jan Vishwas (Amendment of Provisions) Act, 2026 (No. 8 of 2026), serial 66 of the Schedule, in force for this Act from 1 May 2026 by notification S.O. 2103(E) dated 27 April 2026. Food safety requirements read from Schedule 4, Part V of the Food Safety and Standards (Licensing and Registration of Food Businesses) Regulations, 2011, in FSSAI's own compendium, version II dated 09-11-2017. This is a planning aid, not legal advice.</t>
        </is>
      </c>
    </row>
    <row r="39"/>
    <row r="40">
      <c r="B40"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0">
    <mergeCell ref="B3:D3"/>
    <mergeCell ref="B5:D5"/>
    <mergeCell ref="B14:D14"/>
    <mergeCell ref="B36:D36"/>
    <mergeCell ref="B35:D35"/>
    <mergeCell ref="B40:D40"/>
    <mergeCell ref="B21:D21"/>
    <mergeCell ref="B38:D38"/>
    <mergeCell ref="B2:D2"/>
    <mergeCell ref="B34:D34"/>
  </mergeCells>
  <printOptions horizontalCentered="1"/>
  <pageMargins left="0.3" right="0.3" top="0.4" bottom="0.4"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3" customWidth="1" min="1" max="1"/>
    <col width="30" customWidth="1" min="2" max="2"/>
    <col width="18" customWidth="1" min="3" max="3"/>
    <col width="18" customWidth="1" min="4" max="4"/>
    <col width="18" customWidth="1" min="5" max="5"/>
    <col width="14" customWidth="1" min="6" max="6"/>
    <col width="40" customWidth="1" min="7" max="7"/>
    <col width="3" customWidth="1" min="8" max="8"/>
  </cols>
  <sheetData>
    <row r="1"/>
    <row r="2" ht="22" customHeight="1">
      <c r="B2" s="20" t="inlineStr">
        <is>
          <t>Budget summary</t>
        </is>
      </c>
      <c r="C2" s="2" t="n"/>
      <c r="D2" s="2" t="n"/>
      <c r="E2" s="2" t="n"/>
      <c r="F2" s="2" t="n"/>
      <c r="G2" s="2" t="n"/>
    </row>
    <row r="3">
      <c r="B3" s="3" t="inlineStr">
        <is>
          <t>Everything here reads off the Equipment List. Nothing on this sheet is typed in.</t>
        </is>
      </c>
    </row>
    <row r="4"/>
    <row r="5" ht="28" customHeight="1">
      <c r="B5" s="6" t="inlineStr">
        <is>
          <t>Group</t>
        </is>
      </c>
      <c r="C5" s="21" t="inlineStr">
        <is>
          <t>Day one</t>
        </is>
      </c>
      <c r="D5" s="21" t="inlineStr">
        <is>
          <t>Later</t>
        </is>
      </c>
      <c r="E5" s="21" t="inlineStr">
        <is>
          <t>Group total</t>
        </is>
      </c>
      <c r="F5" s="21" t="inlineStr">
        <is>
          <t>Share</t>
        </is>
      </c>
      <c r="G5" s="21" t="inlineStr">
        <is>
          <t>Still to price</t>
        </is>
      </c>
    </row>
    <row r="6">
      <c r="B6" s="50" t="inlineStr">
        <is>
          <t>Bartending tools</t>
        </is>
      </c>
      <c r="C6" s="51">
        <f>SUMIFS('Equipment List'!$L$6:$L$77,'Equipment List'!$B$6:$B$77,$B6,'Equipment List'!$E$6:$E$77,"Day one")</f>
        <v/>
      </c>
      <c r="D6" s="51">
        <f>SUMIFS('Equipment List'!$L$6:$L$77,'Equipment List'!$B$6:$B$77,$B6,'Equipment List'!$E$6:$E$77,"Later")</f>
        <v/>
      </c>
      <c r="E6" s="39">
        <f>C6+D6</f>
        <v/>
      </c>
      <c r="F6" s="52">
        <f>IFERROR(E6/$E$14,"")</f>
        <v/>
      </c>
      <c r="G6" s="53">
        <f>SUMPRODUCT(('Equipment List'!$B$6:$B$77=$B6)*('Equipment List'!$K$6:$K$77="")*('Equipment List'!$G$6:$G$77&gt;0))</f>
        <v/>
      </c>
    </row>
    <row r="7">
      <c r="B7" s="50" t="inlineStr">
        <is>
          <t>Glassware</t>
        </is>
      </c>
      <c r="C7" s="51">
        <f>SUMIFS('Equipment List'!$L$6:$L$77,'Equipment List'!$B$6:$B$77,$B7,'Equipment List'!$E$6:$E$77,"Day one")</f>
        <v/>
      </c>
      <c r="D7" s="51">
        <f>SUMIFS('Equipment List'!$L$6:$L$77,'Equipment List'!$B$6:$B$77,$B7,'Equipment List'!$E$6:$E$77,"Later")</f>
        <v/>
      </c>
      <c r="E7" s="39">
        <f>C7+D7</f>
        <v/>
      </c>
      <c r="F7" s="52">
        <f>IFERROR(E7/$E$14,"")</f>
        <v/>
      </c>
      <c r="G7" s="53">
        <f>SUMPRODUCT(('Equipment List'!$B$6:$B$77=$B7)*('Equipment List'!$K$6:$K$77="")*('Equipment List'!$G$6:$G$77&gt;0))</f>
        <v/>
      </c>
    </row>
    <row r="8">
      <c r="B8" s="50" t="inlineStr">
        <is>
          <t>Ice and cold</t>
        </is>
      </c>
      <c r="C8" s="51">
        <f>SUMIFS('Equipment List'!$L$6:$L$77,'Equipment List'!$B$6:$B$77,$B8,'Equipment List'!$E$6:$E$77,"Day one")</f>
        <v/>
      </c>
      <c r="D8" s="51">
        <f>SUMIFS('Equipment List'!$L$6:$L$77,'Equipment List'!$B$6:$B$77,$B8,'Equipment List'!$E$6:$E$77,"Later")</f>
        <v/>
      </c>
      <c r="E8" s="39">
        <f>C8+D8</f>
        <v/>
      </c>
      <c r="F8" s="52">
        <f>IFERROR(E8/$E$14,"")</f>
        <v/>
      </c>
      <c r="G8" s="53">
        <f>SUMPRODUCT(('Equipment List'!$B$6:$B$77=$B8)*('Equipment List'!$K$6:$K$77="")*('Equipment List'!$G$6:$G$77&gt;0))</f>
        <v/>
      </c>
    </row>
    <row r="9">
      <c r="B9" s="50" t="inlineStr">
        <is>
          <t>Prep</t>
        </is>
      </c>
      <c r="C9" s="51">
        <f>SUMIFS('Equipment List'!$L$6:$L$77,'Equipment List'!$B$6:$B$77,$B9,'Equipment List'!$E$6:$E$77,"Day one")</f>
        <v/>
      </c>
      <c r="D9" s="51">
        <f>SUMIFS('Equipment List'!$L$6:$L$77,'Equipment List'!$B$6:$B$77,$B9,'Equipment List'!$E$6:$E$77,"Later")</f>
        <v/>
      </c>
      <c r="E9" s="39">
        <f>C9+D9</f>
        <v/>
      </c>
      <c r="F9" s="52">
        <f>IFERROR(E9/$E$14,"")</f>
        <v/>
      </c>
      <c r="G9" s="53">
        <f>SUMPRODUCT(('Equipment List'!$B$6:$B$77=$B9)*('Equipment List'!$K$6:$K$77="")*('Equipment List'!$G$6:$G$77&gt;0))</f>
        <v/>
      </c>
    </row>
    <row r="10">
      <c r="B10" s="50" t="inlineStr">
        <is>
          <t>Surfaces and storage</t>
        </is>
      </c>
      <c r="C10" s="51">
        <f>SUMIFS('Equipment List'!$L$6:$L$77,'Equipment List'!$B$6:$B$77,$B10,'Equipment List'!$E$6:$E$77,"Day one")</f>
        <v/>
      </c>
      <c r="D10" s="51">
        <f>SUMIFS('Equipment List'!$L$6:$L$77,'Equipment List'!$B$6:$B$77,$B10,'Equipment List'!$E$6:$E$77,"Later")</f>
        <v/>
      </c>
      <c r="E10" s="39">
        <f>C10+D10</f>
        <v/>
      </c>
      <c r="F10" s="52">
        <f>IFERROR(E10/$E$14,"")</f>
        <v/>
      </c>
      <c r="G10" s="53">
        <f>SUMPRODUCT(('Equipment List'!$B$6:$B$77=$B10)*('Equipment List'!$K$6:$K$77="")*('Equipment List'!$G$6:$G$77&gt;0))</f>
        <v/>
      </c>
    </row>
    <row r="11">
      <c r="B11" s="50" t="inlineStr">
        <is>
          <t>Cleaning and hygiene</t>
        </is>
      </c>
      <c r="C11" s="51">
        <f>SUMIFS('Equipment List'!$L$6:$L$77,'Equipment List'!$B$6:$B$77,$B11,'Equipment List'!$E$6:$E$77,"Day one")</f>
        <v/>
      </c>
      <c r="D11" s="51">
        <f>SUMIFS('Equipment List'!$L$6:$L$77,'Equipment List'!$B$6:$B$77,$B11,'Equipment List'!$E$6:$E$77,"Later")</f>
        <v/>
      </c>
      <c r="E11" s="39">
        <f>C11+D11</f>
        <v/>
      </c>
      <c r="F11" s="52">
        <f>IFERROR(E11/$E$14,"")</f>
        <v/>
      </c>
      <c r="G11" s="53">
        <f>SUMPRODUCT(('Equipment List'!$B$6:$B$77=$B11)*('Equipment List'!$K$6:$K$77="")*('Equipment List'!$G$6:$G$77&gt;0))</f>
        <v/>
      </c>
    </row>
    <row r="12">
      <c r="B12" s="50" t="inlineStr">
        <is>
          <t>Billing and back office</t>
        </is>
      </c>
      <c r="C12" s="51">
        <f>SUMIFS('Equipment List'!$L$6:$L$77,'Equipment List'!$B$6:$B$77,$B12,'Equipment List'!$E$6:$E$77,"Day one")</f>
        <v/>
      </c>
      <c r="D12" s="51">
        <f>SUMIFS('Equipment List'!$L$6:$L$77,'Equipment List'!$B$6:$B$77,$B12,'Equipment List'!$E$6:$E$77,"Later")</f>
        <v/>
      </c>
      <c r="E12" s="39">
        <f>C12+D12</f>
        <v/>
      </c>
      <c r="F12" s="52">
        <f>IFERROR(E12/$E$14,"")</f>
        <v/>
      </c>
      <c r="G12" s="53">
        <f>SUMPRODUCT(('Equipment List'!$B$6:$B$77=$B12)*('Equipment List'!$K$6:$K$77="")*('Equipment List'!$G$6:$G$77&gt;0))</f>
        <v/>
      </c>
    </row>
    <row r="13">
      <c r="B13" s="50" t="inlineStr">
        <is>
          <t>Your own items</t>
        </is>
      </c>
      <c r="C13" s="51">
        <f>SUMIFS('Equipment List'!$L$6:$L$77,'Equipment List'!$B$6:$B$77,$B13,'Equipment List'!$E$6:$E$77,"Day one")</f>
        <v/>
      </c>
      <c r="D13" s="51">
        <f>SUMIFS('Equipment List'!$L$6:$L$77,'Equipment List'!$B$6:$B$77,$B13,'Equipment List'!$E$6:$E$77,"Later")</f>
        <v/>
      </c>
      <c r="E13" s="39">
        <f>C13+D13</f>
        <v/>
      </c>
      <c r="F13" s="52">
        <f>IFERROR(E13/$E$14,"")</f>
        <v/>
      </c>
      <c r="G13" s="53">
        <f>SUMPRODUCT(('Equipment List'!$B$6:$B$77=$B13)*('Equipment List'!$K$6:$K$77="")*('Equipment List'!$G$6:$G$77&gt;0))</f>
        <v/>
      </c>
    </row>
    <row r="14">
      <c r="B14" s="29" t="inlineStr">
        <is>
          <t>Total</t>
        </is>
      </c>
      <c r="C14" s="47">
        <f>SUM(C6:C13)</f>
        <v/>
      </c>
      <c r="D14" s="47">
        <f>SUM(D6:D13)</f>
        <v/>
      </c>
      <c r="E14" s="47">
        <f>SUM(E6:E13)</f>
        <v/>
      </c>
      <c r="F14" s="54" t="n"/>
      <c r="G14" s="55">
        <f>SUM(G6:G13)</f>
        <v/>
      </c>
    </row>
    <row r="15"/>
    <row r="16">
      <c r="B16" s="26" t="inlineStr">
        <is>
          <t>What this tells you</t>
        </is>
      </c>
      <c r="C16" s="27" t="n"/>
      <c r="D16" s="27" t="n"/>
      <c r="E16" s="27" t="n"/>
      <c r="F16" s="27" t="n"/>
      <c r="G16" s="27" t="n"/>
    </row>
    <row r="17">
      <c r="B17" s="6" t="inlineStr">
        <is>
          <t>Figure</t>
        </is>
      </c>
      <c r="C17" s="21" t="inlineStr">
        <is>
          <t>Value</t>
        </is>
      </c>
      <c r="D17" s="21" t="n"/>
      <c r="E17" s="21" t="n"/>
      <c r="F17" s="21" t="n"/>
      <c r="G17" s="6" t="inlineStr">
        <is>
          <t>Read it like this</t>
        </is>
      </c>
    </row>
    <row r="18" ht="27" customHeight="1">
      <c r="B18" s="7" t="inlineStr">
        <is>
          <t>Opening night spend</t>
        </is>
      </c>
      <c r="C18" s="56">
        <f>C14</f>
        <v/>
      </c>
      <c r="D18" s="57" t="n"/>
      <c r="E18" s="57" t="n"/>
      <c r="F18" s="57" t="n"/>
      <c r="G18" s="23" t="inlineStr">
        <is>
          <t>What has to be paid for before you can serve a drink.</t>
        </is>
      </c>
    </row>
    <row r="19" ht="27" customHeight="1">
      <c r="B19" s="7" t="inlineStr">
        <is>
          <t>Can wait</t>
        </is>
      </c>
      <c r="C19" s="56">
        <f>D14</f>
        <v/>
      </c>
      <c r="D19" s="57" t="n"/>
      <c r="E19" s="57" t="n"/>
      <c r="F19" s="57" t="n"/>
      <c r="G19" s="23" t="inlineStr">
        <is>
          <t>Spread this over the first menu review rather than the opening.</t>
        </is>
      </c>
    </row>
    <row r="20" ht="27" customHeight="1">
      <c r="B20" s="7" t="inlineStr">
        <is>
          <t>Later spend as a share</t>
        </is>
      </c>
      <c r="C20" s="58">
        <f>IFERROR(D14/E14,"")</f>
        <v/>
      </c>
      <c r="D20" s="57" t="n"/>
      <c r="E20" s="57" t="n"/>
      <c r="F20" s="57" t="n"/>
      <c r="G20" s="23" t="inlineStr">
        <is>
          <t>If this is under a tenth, look again, most lists have more that can wait.</t>
        </is>
      </c>
    </row>
    <row r="21" ht="40" customHeight="1">
      <c r="B21" s="7" t="inlineStr">
        <is>
          <t>Lines still to price</t>
        </is>
      </c>
      <c r="C21" s="55">
        <f>G14</f>
        <v/>
      </c>
      <c r="D21" s="57" t="n"/>
      <c r="E21" s="57" t="n"/>
      <c r="F21" s="57" t="n"/>
      <c r="G21" s="23" t="inlineStr">
        <is>
          <t>Every line you have given a quantity but no quote. The total is understated until this is zero.</t>
        </is>
      </c>
    </row>
    <row r="22" ht="40" customHeight="1">
      <c r="B22" s="7" t="inlineStr">
        <is>
          <t>Cost per seat</t>
        </is>
      </c>
      <c r="C22" s="56">
        <f>IFERROR(E14/'Bar Profile'!$C$6,"")</f>
        <v/>
      </c>
      <c r="D22" s="57" t="n"/>
      <c r="E22" s="57" t="n"/>
      <c r="F22" s="57" t="n"/>
      <c r="G22" s="23" t="inlineStr">
        <is>
          <t>Useful only against your own second outlet. Do not compare it to a published figure.</t>
        </is>
      </c>
    </row>
    <row r="23"/>
    <row r="24"/>
    <row r="25" ht="53" customHeight="1">
      <c r="B25" s="13" t="inlineStr">
        <is>
          <t>One line on this list pays for itself differently from the rest. Everything else pours, chills or washes. The POS counts. A bar loses stock in ways a kitchen does not. An over-pour of 10 ml on every peg disappears silently, and by the monthly count the bottle figure and the sales figure no longer agree. A till that deducts stock item by item as you bill, and gives you a day-end inventory report, is what makes that gap visible.</t>
        </is>
      </c>
    </row>
    <row r="26"/>
    <row r="27">
      <c r="B27"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1">
    <mergeCell ref="B3:G3"/>
    <mergeCell ref="B2:G2"/>
    <mergeCell ref="C18:F18"/>
    <mergeCell ref="B16:G16"/>
    <mergeCell ref="C22:F22"/>
    <mergeCell ref="C17:F17"/>
    <mergeCell ref="C20:F20"/>
    <mergeCell ref="B27:G27"/>
    <mergeCell ref="C21:F21"/>
    <mergeCell ref="C19:F19"/>
    <mergeCell ref="B25:G25"/>
  </mergeCells>
  <printOptions horizontalCentered="1"/>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8" customWidth="1" min="2" max="2"/>
    <col width="18" customWidth="1" min="3" max="3"/>
    <col width="18" customWidth="1" min="4" max="4"/>
  </cols>
  <sheetData>
    <row r="1">
      <c r="A1" s="12" t="inlineStr">
        <is>
          <t>Menu style</t>
        </is>
      </c>
      <c r="C1" s="12" t="inlineStr">
        <is>
          <t>Raw glass share</t>
        </is>
      </c>
    </row>
    <row r="2">
      <c r="A2" s="59" t="inlineStr">
        <is>
          <t>Beer and highball led</t>
        </is>
      </c>
      <c r="C2" s="5">
        <f>IF('Bar Profile'!$C$8="Beer and highball led",0.25,IF('Bar Profile'!$C$8="Cocktail led",0.25,0.3))</f>
        <v/>
      </c>
    </row>
    <row r="3">
      <c r="A3" s="59" t="inlineStr">
        <is>
          <t>Mixed drinks</t>
        </is>
      </c>
      <c r="C3" s="5">
        <f>IF('Bar Profile'!$C$8="Beer and highball led",0.15,IF('Bar Profile'!$C$8="Cocktail led",0.25,0.2))</f>
        <v/>
      </c>
    </row>
    <row r="4">
      <c r="A4" s="59" t="inlineStr">
        <is>
          <t>Cocktail led</t>
        </is>
      </c>
      <c r="C4" s="5">
        <f>IF('Bar Profile'!$C$8="Beer and highball led",0.4,IF('Bar Profile'!$C$8="Cocktail led",0.1,0.2))</f>
        <v/>
      </c>
    </row>
    <row r="5">
      <c r="C5" s="5">
        <f>IF('Bar Profile'!$C$14="No",0,IF('Bar Profile'!$C$8="Beer and highball led",0.1,IF('Bar Profile'!$C$8="Cocktail led",0.15,0.15)))</f>
        <v/>
      </c>
    </row>
    <row r="6">
      <c r="A6" s="12" t="inlineStr">
        <is>
          <t>Yes or No</t>
        </is>
      </c>
      <c r="C6" s="5">
        <f>IF('Bar Profile'!$C$8="Beer and highball led",0.05,IF('Bar Profile'!$C$8="Cocktail led",0.2,0.1))</f>
        <v/>
      </c>
    </row>
    <row r="7">
      <c r="A7" s="59" t="inlineStr">
        <is>
          <t>Yes</t>
        </is>
      </c>
      <c r="C7" s="5">
        <f>IF('Bar Profile'!$C$8="Beer and highball led",0.05,IF('Bar Profile'!$C$8="Cocktail led",0.05,0.05))</f>
        <v/>
      </c>
    </row>
    <row r="8">
      <c r="A8" s="59" t="inlineStr">
        <is>
          <t>No</t>
        </is>
      </c>
      <c r="C8" s="60">
        <f>SUM(C2:C7)</f>
        <v/>
      </c>
    </row>
    <row r="9"/>
    <row r="10">
      <c r="A10" s="12" t="inlineStr">
        <is>
          <t>Day one or Later</t>
        </is>
      </c>
    </row>
    <row r="11">
      <c r="A11" s="59" t="inlineStr">
        <is>
          <t>Day one</t>
        </is>
      </c>
    </row>
    <row r="12">
      <c r="A12" s="59" t="inlineStr">
        <is>
          <t>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2026-09-22T13:27:37Z</dcterms:created>
  <dcterms:modified xmlns:dcterms="http://purl.org/dc/terms/" xmlns:xsi="http://www.w3.org/2001/XMLSchema-instance" xsi:type="dcterms:W3CDTF">2026-09-22T13:27:37Z</dcterms:modified>
</cp:coreProperties>
</file>